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IS\Desktop\โครงการโซล่าเซลล์\PPA\"/>
    </mc:Choice>
  </mc:AlternateContent>
  <xr:revisionPtr revIDLastSave="0" documentId="13_ncr:1_{740D44EF-02DB-490E-8907-49E32ECB78DD}" xr6:coauthVersionLast="47" xr6:coauthVersionMax="47" xr10:uidLastSave="{00000000-0000-0000-0000-000000000000}"/>
  <bookViews>
    <workbookView xWindow="-103" yWindow="-103" windowWidth="16663" windowHeight="9772" activeTab="2" xr2:uid="{7099A1AF-812A-44A0-B539-98EE92F8A6F1}"/>
  </bookViews>
  <sheets>
    <sheet name="คำนวณค่าไฟฟ้า" sheetId="1" r:id="rId1"/>
    <sheet name="หนองจอก" sheetId="3" r:id="rId2"/>
    <sheet name="บดินทรเดชา 4" sheetId="4" r:id="rId3"/>
    <sheet name="บริษัทเพาเดอร์พลัส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3" i="4"/>
  <c r="A2" i="4"/>
  <c r="A10" i="4"/>
  <c r="C10" i="4" s="1"/>
  <c r="C9" i="4"/>
  <c r="A9" i="4"/>
  <c r="A8" i="4"/>
  <c r="C8" i="4" s="1"/>
  <c r="A7" i="4"/>
  <c r="C7" i="4" s="1"/>
  <c r="A6" i="4"/>
  <c r="C6" i="4" s="1"/>
  <c r="A5" i="4"/>
  <c r="C5" i="4" s="1"/>
  <c r="C4" i="4"/>
  <c r="C3" i="4"/>
  <c r="C2" i="4"/>
  <c r="E43" i="3"/>
  <c r="C42" i="3"/>
  <c r="C41" i="3"/>
  <c r="E41" i="3" s="1"/>
  <c r="C40" i="3"/>
  <c r="E40" i="3" s="1"/>
  <c r="C39" i="3"/>
  <c r="E39" i="3" s="1"/>
  <c r="C38" i="3"/>
  <c r="E38" i="3" s="1"/>
  <c r="C37" i="3"/>
  <c r="E37" i="3" s="1"/>
  <c r="C36" i="3"/>
  <c r="E36" i="3" s="1"/>
  <c r="E50" i="3"/>
  <c r="E49" i="3"/>
  <c r="E48" i="3"/>
  <c r="E47" i="3"/>
  <c r="E46" i="3"/>
  <c r="E45" i="3"/>
  <c r="E42" i="3"/>
  <c r="E35" i="3"/>
  <c r="C35" i="3"/>
  <c r="F34" i="3"/>
  <c r="C34" i="3"/>
  <c r="E34" i="3" s="1"/>
  <c r="K6" i="3"/>
  <c r="E20" i="3"/>
  <c r="F19" i="3"/>
  <c r="D18" i="3"/>
  <c r="B18" i="3"/>
  <c r="C18" i="3"/>
  <c r="F17" i="3"/>
  <c r="H17" i="3" s="1"/>
  <c r="D17" i="3"/>
  <c r="F16" i="3"/>
  <c r="H16" i="3" s="1"/>
  <c r="D16" i="3"/>
  <c r="D9" i="3"/>
  <c r="F15" i="3"/>
  <c r="G15" i="3" s="1"/>
  <c r="I15" i="3" s="1"/>
  <c r="D15" i="3"/>
  <c r="F14" i="3"/>
  <c r="H14" i="3" s="1"/>
  <c r="D14" i="3"/>
  <c r="F13" i="3"/>
  <c r="H13" i="3" s="1"/>
  <c r="D13" i="3"/>
  <c r="F12" i="3"/>
  <c r="G12" i="3" s="1"/>
  <c r="I12" i="3" s="1"/>
  <c r="D12" i="3"/>
  <c r="F11" i="3"/>
  <c r="G11" i="3" s="1"/>
  <c r="I11" i="3" s="1"/>
  <c r="D11" i="3"/>
  <c r="F10" i="3"/>
  <c r="H10" i="3" s="1"/>
  <c r="D10" i="3"/>
  <c r="F9" i="3"/>
  <c r="H9" i="3" s="1"/>
  <c r="F8" i="3"/>
  <c r="H8" i="3" s="1"/>
  <c r="D8" i="3"/>
  <c r="F7" i="3"/>
  <c r="G7" i="3" s="1"/>
  <c r="I7" i="3" s="1"/>
  <c r="D7" i="3"/>
  <c r="F6" i="3"/>
  <c r="G6" i="3" s="1"/>
  <c r="I6" i="3" s="1"/>
  <c r="D6" i="3"/>
  <c r="F5" i="3"/>
  <c r="H5" i="3" s="1"/>
  <c r="D5" i="3"/>
  <c r="F4" i="3"/>
  <c r="H4" i="3" s="1"/>
  <c r="D4" i="3"/>
  <c r="F3" i="3"/>
  <c r="G3" i="3" s="1"/>
  <c r="I3" i="3" s="1"/>
  <c r="D3" i="3"/>
  <c r="I15" i="1"/>
  <c r="G15" i="1"/>
  <c r="E15" i="1"/>
  <c r="D15" i="1"/>
  <c r="C15" i="1"/>
  <c r="C14" i="1"/>
  <c r="C7" i="1"/>
  <c r="D7" i="1"/>
  <c r="G7" i="1"/>
  <c r="I7" i="1"/>
  <c r="E7" i="1"/>
  <c r="C6" i="1"/>
  <c r="H24" i="1"/>
  <c r="F23" i="1"/>
  <c r="E23" i="1"/>
  <c r="D23" i="1"/>
  <c r="C23" i="1"/>
  <c r="C22" i="1"/>
  <c r="I21" i="1"/>
  <c r="I22" i="1"/>
  <c r="I20" i="1"/>
  <c r="H21" i="1"/>
  <c r="H22" i="1"/>
  <c r="H20" i="1"/>
  <c r="G21" i="1"/>
  <c r="G22" i="1"/>
  <c r="G20" i="1"/>
  <c r="E22" i="1"/>
  <c r="E21" i="1"/>
  <c r="D21" i="1"/>
  <c r="E20" i="1"/>
  <c r="D20" i="1"/>
  <c r="B22" i="1"/>
  <c r="B23" i="1" s="1"/>
  <c r="E14" i="1"/>
  <c r="E6" i="1"/>
  <c r="C3" i="1"/>
  <c r="C18" i="2"/>
  <c r="B17" i="2"/>
  <c r="C17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4" l="1"/>
  <c r="C11" i="4"/>
  <c r="G17" i="3"/>
  <c r="I17" i="3" s="1"/>
  <c r="G16" i="3"/>
  <c r="I16" i="3" s="1"/>
  <c r="H15" i="3"/>
  <c r="G8" i="3"/>
  <c r="I8" i="3" s="1"/>
  <c r="G13" i="3"/>
  <c r="I13" i="3" s="1"/>
  <c r="H6" i="3"/>
  <c r="H11" i="3"/>
  <c r="H12" i="3"/>
  <c r="G14" i="3"/>
  <c r="I14" i="3" s="1"/>
  <c r="H7" i="3"/>
  <c r="G10" i="3"/>
  <c r="I10" i="3" s="1"/>
  <c r="G9" i="3"/>
  <c r="I9" i="3" s="1"/>
  <c r="G5" i="3"/>
  <c r="I5" i="3" s="1"/>
  <c r="H3" i="3"/>
  <c r="G4" i="3"/>
  <c r="I4" i="3" s="1"/>
  <c r="D22" i="1"/>
  <c r="F12" i="1"/>
  <c r="H12" i="1" s="1"/>
  <c r="B14" i="1"/>
  <c r="B15" i="1" s="1"/>
  <c r="D14" i="1"/>
  <c r="D12" i="1"/>
  <c r="D13" i="1"/>
  <c r="F13" i="1"/>
  <c r="H13" i="1" s="1"/>
  <c r="B6" i="1"/>
  <c r="B7" i="1" s="1"/>
  <c r="F3" i="1"/>
  <c r="G3" i="1" s="1"/>
  <c r="I3" i="1" s="1"/>
  <c r="D4" i="1"/>
  <c r="F4" i="1" s="1"/>
  <c r="G4" i="1" s="1"/>
  <c r="I4" i="1" s="1"/>
  <c r="D5" i="1"/>
  <c r="F5" i="1" s="1"/>
  <c r="G5" i="1" s="1"/>
  <c r="I5" i="1" s="1"/>
  <c r="D3" i="1"/>
  <c r="H14" i="1" l="1"/>
  <c r="F14" i="1"/>
  <c r="F15" i="1" s="1"/>
  <c r="H15" i="1"/>
  <c r="H16" i="1" s="1"/>
  <c r="G12" i="1"/>
  <c r="G13" i="1"/>
  <c r="I13" i="1" s="1"/>
  <c r="I6" i="1"/>
  <c r="G6" i="1"/>
  <c r="F6" i="1"/>
  <c r="F7" i="1" s="1"/>
  <c r="D6" i="1"/>
  <c r="H5" i="1"/>
  <c r="H4" i="1"/>
  <c r="H3" i="1"/>
  <c r="G14" i="1" l="1"/>
  <c r="I12" i="1"/>
  <c r="I14" i="1" s="1"/>
  <c r="H6" i="1"/>
  <c r="H7" i="1" s="1"/>
  <c r="H8" i="1" s="1"/>
</calcChain>
</file>

<file path=xl/sharedStrings.xml><?xml version="1.0" encoding="utf-8"?>
<sst xmlns="http://schemas.openxmlformats.org/spreadsheetml/2006/main" count="82" uniqueCount="45">
  <si>
    <t>คำนวณค่าไฟฟ้า สถานีตำรวจภูธรพระขาว</t>
  </si>
  <si>
    <t>เดือน</t>
  </si>
  <si>
    <t>ค่าไฟฟ้า</t>
  </si>
  <si>
    <t>หน่วยที่ใช้</t>
  </si>
  <si>
    <t>ราคา/หน่วย</t>
  </si>
  <si>
    <t>oa1price</t>
  </si>
  <si>
    <t>จ่ายเพียง</t>
  </si>
  <si>
    <t>ลดลง</t>
  </si>
  <si>
    <t>%</t>
  </si>
  <si>
    <t>เฉลี่ย</t>
  </si>
  <si>
    <t>ทั้งปี</t>
  </si>
  <si>
    <t>จำนวนเงินที่ประหยัดจากการใช้โซลาร์เซลล์เทียบกับการใช้ไฟฟ้าปกติ</t>
  </si>
  <si>
    <t>คำนวณค่าไฟฟ้า โรงเรียนวัดใหญ่ชัยมงคล (ภาวนารังสี)</t>
  </si>
  <si>
    <t>คำนวณค่าไฟฟ้าบริษัทเพาเดอร์พลัส จำกัด</t>
  </si>
  <si>
    <t>กพ.2568</t>
  </si>
  <si>
    <t>สค.2567</t>
  </si>
  <si>
    <t>กย.2567</t>
  </si>
  <si>
    <t>ตุค.2567</t>
  </si>
  <si>
    <t>พย.2567</t>
  </si>
  <si>
    <t>ธค.2567</t>
  </si>
  <si>
    <t>มค.2568</t>
  </si>
  <si>
    <t>กค.2567</t>
  </si>
  <si>
    <t>มค.2567</t>
  </si>
  <si>
    <t>กพ.2567</t>
  </si>
  <si>
    <t>มีค.2567</t>
  </si>
  <si>
    <t>เมย.2567</t>
  </si>
  <si>
    <t>พค.2567</t>
  </si>
  <si>
    <t>มิย.2567</t>
  </si>
  <si>
    <t>คำนวณขนาดกำลังการผลิตไฟฟ้า โรงเรียนวัดใหญ่ชัยมงคล (ภาวนารังสี)</t>
  </si>
  <si>
    <t>กำลังการผลิต</t>
  </si>
  <si>
    <t>ราคา</t>
  </si>
  <si>
    <t>vat</t>
  </si>
  <si>
    <t>ราคารวม</t>
  </si>
  <si>
    <t>หน่วย/วัน</t>
  </si>
  <si>
    <t>หน่วย/ชม.</t>
  </si>
  <si>
    <t>ปี</t>
  </si>
  <si>
    <t>จุดคุ้มทุน</t>
  </si>
  <si>
    <t>หน่วย/เดือน</t>
  </si>
  <si>
    <t>หน่วย/ชั่วโมง</t>
  </si>
  <si>
    <t>330 กิโลวัตต์</t>
  </si>
  <si>
    <t>คำนวณค่าไฟฟ้า โรงเรียนมัธยมวัดหนองจอก</t>
  </si>
  <si>
    <t>เดิอน</t>
  </si>
  <si>
    <t>On Peak</t>
  </si>
  <si>
    <t>หน่วย</t>
  </si>
  <si>
    <t>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</si>
</sst>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horizontal="right"/>
    </xf>
    <xf numFmtId="43" fontId="2" fillId="3" borderId="0" xfId="1" applyFont="1" applyFill="1" applyAlignment="1">
      <alignment horizontal="right"/>
    </xf>
    <xf numFmtId="43" fontId="0" fillId="0" borderId="0" xfId="1" applyFont="1"/>
    <xf numFmtId="0" fontId="3" fillId="0" borderId="0" xfId="0" applyFont="1"/>
    <xf numFmtId="43" fontId="3" fillId="0" borderId="0" xfId="1" applyFont="1"/>
    <xf numFmtId="43" fontId="2" fillId="0" borderId="0" xfId="1" applyFont="1"/>
    <xf numFmtId="0" fontId="4" fillId="3" borderId="0" xfId="0" applyFont="1" applyFill="1" applyAlignment="1">
      <alignment horizontal="right"/>
    </xf>
    <xf numFmtId="43" fontId="4" fillId="3" borderId="0" xfId="1" applyFont="1" applyFill="1" applyAlignment="1">
      <alignment horizontal="right"/>
    </xf>
    <xf numFmtId="17" fontId="5" fillId="0" borderId="0" xfId="0" applyNumberFormat="1" applyFont="1"/>
    <xf numFmtId="43" fontId="5" fillId="0" borderId="0" xfId="1" applyFont="1"/>
    <xf numFmtId="0" fontId="5" fillId="5" borderId="0" xfId="0" applyFont="1" applyFill="1" applyAlignment="1">
      <alignment horizontal="right"/>
    </xf>
    <xf numFmtId="0" fontId="4" fillId="0" borderId="0" xfId="0" applyFont="1"/>
    <xf numFmtId="0" fontId="5" fillId="0" borderId="0" xfId="0" applyFont="1"/>
    <xf numFmtId="0" fontId="5" fillId="4" borderId="0" xfId="0" applyFont="1" applyFill="1" applyAlignment="1">
      <alignment horizontal="right"/>
    </xf>
    <xf numFmtId="43" fontId="4" fillId="4" borderId="0" xfId="1" applyFont="1" applyFill="1"/>
    <xf numFmtId="43" fontId="5" fillId="5" borderId="0" xfId="1" applyFont="1" applyFill="1"/>
    <xf numFmtId="43" fontId="6" fillId="8" borderId="0" xfId="1" applyFont="1" applyFill="1"/>
    <xf numFmtId="43" fontId="5" fillId="7" borderId="0" xfId="1" applyFont="1" applyFill="1"/>
    <xf numFmtId="43" fontId="5" fillId="6" borderId="0" xfId="1" applyFont="1" applyFill="1"/>
    <xf numFmtId="43" fontId="5" fillId="7" borderId="0" xfId="1" applyFont="1" applyFill="1" applyAlignment="1">
      <alignment horizontal="right"/>
    </xf>
    <xf numFmtId="43" fontId="4" fillId="4" borderId="0" xfId="1" applyFont="1" applyFill="1" applyAlignment="1">
      <alignment horizontal="right"/>
    </xf>
    <xf numFmtId="43" fontId="5" fillId="5" borderId="0" xfId="1" applyFont="1" applyFill="1" applyAlignment="1">
      <alignment horizontal="right"/>
    </xf>
    <xf numFmtId="43" fontId="4" fillId="2" borderId="0" xfId="1" applyFont="1" applyFill="1"/>
    <xf numFmtId="43" fontId="6" fillId="8" borderId="0" xfId="1" applyFont="1" applyFill="1" applyAlignment="1">
      <alignment horizontal="right"/>
    </xf>
    <xf numFmtId="43" fontId="5" fillId="0" borderId="0" xfId="1" applyFont="1" applyAlignment="1">
      <alignment horizontal="right"/>
    </xf>
    <xf numFmtId="0" fontId="6" fillId="8" borderId="0" xfId="0" applyFont="1" applyFill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7" fillId="3" borderId="0" xfId="0" applyFont="1" applyFill="1" applyAlignment="1">
      <alignment horizontal="right"/>
    </xf>
    <xf numFmtId="43" fontId="7" fillId="3" borderId="0" xfId="1" applyFont="1" applyFill="1" applyAlignment="1">
      <alignment horizontal="right"/>
    </xf>
    <xf numFmtId="17" fontId="8" fillId="0" borderId="0" xfId="0" applyNumberFormat="1" applyFont="1"/>
    <xf numFmtId="43" fontId="8" fillId="7" borderId="0" xfId="1" applyFont="1" applyFill="1"/>
    <xf numFmtId="43" fontId="8" fillId="6" borderId="0" xfId="1" applyFont="1" applyFill="1"/>
    <xf numFmtId="43" fontId="8" fillId="0" borderId="0" xfId="1" applyFont="1"/>
    <xf numFmtId="43" fontId="8" fillId="7" borderId="0" xfId="1" applyFont="1" applyFill="1" applyAlignment="1">
      <alignment horizontal="right"/>
    </xf>
    <xf numFmtId="43" fontId="8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CB44-45F5-4430-ABB8-2235BFBE18B3}">
  <dimension ref="A1:J24"/>
  <sheetViews>
    <sheetView zoomScale="90" zoomScaleNormal="90" workbookViewId="0">
      <selection sqref="A1:I5"/>
    </sheetView>
  </sheetViews>
  <sheetFormatPr defaultColWidth="9.15234375" defaultRowHeight="20.6"/>
  <cols>
    <col min="1" max="1" width="10.69140625" style="14" bestFit="1" customWidth="1"/>
    <col min="2" max="2" width="17.15234375" style="11" bestFit="1" customWidth="1"/>
    <col min="3" max="3" width="17.69140625" style="11" bestFit="1" customWidth="1"/>
    <col min="4" max="4" width="17.3046875" style="11" bestFit="1" customWidth="1"/>
    <col min="5" max="5" width="15.3828125" style="11" bestFit="1" customWidth="1"/>
    <col min="6" max="6" width="19.3046875" style="26" bestFit="1" customWidth="1"/>
    <col min="7" max="7" width="19.84375" style="11" bestFit="1" customWidth="1"/>
    <col min="8" max="8" width="17.15234375" style="11" bestFit="1" customWidth="1"/>
    <col min="9" max="9" width="19.84375" style="11" bestFit="1" customWidth="1"/>
    <col min="10" max="10" width="20.69140625" style="14" customWidth="1"/>
    <col min="11" max="16384" width="9.15234375" style="14"/>
  </cols>
  <sheetData>
    <row r="1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13"/>
    </row>
    <row r="2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8</v>
      </c>
      <c r="H2" s="9" t="s">
        <v>7</v>
      </c>
      <c r="I2" s="9" t="s">
        <v>8</v>
      </c>
    </row>
    <row r="3" spans="1:10">
      <c r="A3" s="10">
        <v>243953</v>
      </c>
      <c r="B3" s="19">
        <v>11855.8</v>
      </c>
      <c r="C3" s="20">
        <f>1244.4+447.6+808.8</f>
        <v>2500.8000000000002</v>
      </c>
      <c r="D3" s="11">
        <f>B3/C3</f>
        <v>4.7408029430582204</v>
      </c>
      <c r="E3" s="11">
        <v>3.7</v>
      </c>
      <c r="F3" s="21">
        <f>C3*E3</f>
        <v>9252.9600000000009</v>
      </c>
      <c r="G3" s="11">
        <f>F3*100/B3</f>
        <v>78.045850975893671</v>
      </c>
      <c r="H3" s="11">
        <f>B3-F3</f>
        <v>2602.8399999999983</v>
      </c>
      <c r="I3" s="11">
        <f>100-G3</f>
        <v>21.954149024106329</v>
      </c>
    </row>
    <row r="4" spans="1:10">
      <c r="A4" s="10">
        <v>243984</v>
      </c>
      <c r="B4" s="19">
        <v>10633.57</v>
      </c>
      <c r="C4" s="20">
        <v>2251.1999999999998</v>
      </c>
      <c r="D4" s="11">
        <f t="shared" ref="D4:D5" si="0">B4/C4</f>
        <v>4.7235119047619047</v>
      </c>
      <c r="E4" s="11">
        <v>3.7</v>
      </c>
      <c r="F4" s="21">
        <f t="shared" ref="F4:F5" si="1">C4*E4</f>
        <v>8329.44</v>
      </c>
      <c r="G4" s="11">
        <f>F4*100/B4</f>
        <v>78.331548106609546</v>
      </c>
      <c r="H4" s="11">
        <f t="shared" ref="H4:H5" si="2">B4-F4</f>
        <v>2304.1299999999992</v>
      </c>
      <c r="I4" s="11">
        <f>100-G4</f>
        <v>21.668451893390454</v>
      </c>
    </row>
    <row r="5" spans="1:10">
      <c r="A5" s="10">
        <v>244015</v>
      </c>
      <c r="B5" s="19">
        <v>13768.45</v>
      </c>
      <c r="C5" s="20">
        <v>2936.4</v>
      </c>
      <c r="D5" s="11">
        <f t="shared" si="0"/>
        <v>4.6888877537120282</v>
      </c>
      <c r="E5" s="11">
        <v>3.7</v>
      </c>
      <c r="F5" s="21">
        <f t="shared" si="1"/>
        <v>10864.68</v>
      </c>
      <c r="G5" s="11">
        <f>F5*100/B5</f>
        <v>78.909971710686378</v>
      </c>
      <c r="H5" s="11">
        <f t="shared" si="2"/>
        <v>2903.7700000000004</v>
      </c>
      <c r="I5" s="11">
        <f>100-G5</f>
        <v>21.090028289313622</v>
      </c>
    </row>
    <row r="6" spans="1:10">
      <c r="A6" s="15" t="s">
        <v>9</v>
      </c>
      <c r="B6" s="16">
        <f>SUM(B3:B5)/3</f>
        <v>12085.94</v>
      </c>
      <c r="C6" s="16">
        <f>SUM(C3:C5)/3</f>
        <v>2562.7999999999997</v>
      </c>
      <c r="D6" s="16">
        <f t="shared" ref="D6:I6" si="3">SUM(D3:D5)/3</f>
        <v>4.7177342005107183</v>
      </c>
      <c r="E6" s="16">
        <f t="shared" si="3"/>
        <v>3.7000000000000006</v>
      </c>
      <c r="F6" s="22">
        <f t="shared" si="3"/>
        <v>9482.36</v>
      </c>
      <c r="G6" s="16">
        <f t="shared" si="3"/>
        <v>78.42912359772987</v>
      </c>
      <c r="H6" s="16">
        <f t="shared" si="3"/>
        <v>2603.5799999999995</v>
      </c>
      <c r="I6" s="16">
        <f t="shared" si="3"/>
        <v>21.570876402270134</v>
      </c>
    </row>
    <row r="7" spans="1:10">
      <c r="A7" s="12" t="s">
        <v>10</v>
      </c>
      <c r="B7" s="17">
        <f>B6*12</f>
        <v>145031.28</v>
      </c>
      <c r="C7" s="17">
        <f>C6*12</f>
        <v>30753.599999999999</v>
      </c>
      <c r="D7" s="17">
        <f>D6</f>
        <v>4.7177342005107183</v>
      </c>
      <c r="E7" s="17">
        <f>(E6*12)/12</f>
        <v>3.7000000000000006</v>
      </c>
      <c r="F7" s="23">
        <f>F6*12</f>
        <v>113788.32</v>
      </c>
      <c r="G7" s="17">
        <f>G6</f>
        <v>78.42912359772987</v>
      </c>
      <c r="H7" s="17">
        <f>H6*12</f>
        <v>31242.959999999992</v>
      </c>
      <c r="I7" s="17">
        <f>I6</f>
        <v>21.570876402270134</v>
      </c>
    </row>
    <row r="8" spans="1:10" ht="27.75" customHeight="1">
      <c r="A8" s="29" t="s">
        <v>11</v>
      </c>
      <c r="B8" s="29"/>
      <c r="C8" s="29"/>
      <c r="D8" s="29"/>
      <c r="E8" s="29"/>
      <c r="F8" s="29"/>
      <c r="G8" s="29"/>
      <c r="H8" s="24">
        <f>H7/B6</f>
        <v>2.5850666145951404</v>
      </c>
      <c r="I8" s="24" t="s">
        <v>1</v>
      </c>
    </row>
    <row r="10" spans="1:10">
      <c r="A10" s="30" t="s">
        <v>12</v>
      </c>
      <c r="B10" s="30"/>
      <c r="C10" s="30"/>
      <c r="D10" s="30"/>
      <c r="E10" s="30"/>
      <c r="F10" s="30"/>
      <c r="G10" s="30"/>
      <c r="H10" s="30"/>
      <c r="I10" s="30"/>
    </row>
    <row r="11" spans="1:10">
      <c r="A11" s="8" t="s">
        <v>1</v>
      </c>
      <c r="B11" s="9" t="s">
        <v>2</v>
      </c>
      <c r="C11" s="9" t="s">
        <v>37</v>
      </c>
      <c r="D11" s="9" t="s">
        <v>4</v>
      </c>
      <c r="E11" s="9" t="s">
        <v>5</v>
      </c>
      <c r="F11" s="9" t="s">
        <v>6</v>
      </c>
      <c r="G11" s="9" t="s">
        <v>8</v>
      </c>
      <c r="H11" s="9" t="s">
        <v>7</v>
      </c>
      <c r="I11" s="9" t="s">
        <v>8</v>
      </c>
    </row>
    <row r="12" spans="1:10">
      <c r="A12" s="10">
        <v>244015</v>
      </c>
      <c r="B12" s="19">
        <v>30846.44</v>
      </c>
      <c r="C12" s="20">
        <v>5799.32</v>
      </c>
      <c r="D12" s="11">
        <f t="shared" ref="D12" si="4">B12/C12</f>
        <v>5.3189753281419199</v>
      </c>
      <c r="E12" s="11">
        <v>3.7</v>
      </c>
      <c r="F12" s="21">
        <f t="shared" ref="F12" si="5">C12*E12</f>
        <v>21457.484</v>
      </c>
      <c r="G12" s="11">
        <f>F12*100/B12</f>
        <v>69.562270394898079</v>
      </c>
      <c r="H12" s="11">
        <f t="shared" ref="H12" si="6">B12-F12</f>
        <v>9388.9559999999983</v>
      </c>
      <c r="I12" s="11">
        <f>100-G12</f>
        <v>30.437729605101921</v>
      </c>
    </row>
    <row r="13" spans="1:10">
      <c r="A13" s="10">
        <v>244044</v>
      </c>
      <c r="B13" s="19">
        <v>41520.410000000003</v>
      </c>
      <c r="C13" s="20">
        <v>8257.92</v>
      </c>
      <c r="D13" s="11">
        <f t="shared" ref="D13" si="7">B13/C13</f>
        <v>5.0279501375649076</v>
      </c>
      <c r="E13" s="11">
        <v>3.7</v>
      </c>
      <c r="F13" s="21">
        <f t="shared" ref="F13" si="8">C13*E13</f>
        <v>30554.304</v>
      </c>
      <c r="G13" s="11">
        <f>F13*100/B13</f>
        <v>73.58863749177813</v>
      </c>
      <c r="H13" s="11">
        <f t="shared" ref="H13" si="9">B13-F13</f>
        <v>10966.106000000003</v>
      </c>
      <c r="I13" s="11">
        <f>100-G13</f>
        <v>26.41136250822187</v>
      </c>
    </row>
    <row r="14" spans="1:10">
      <c r="A14" s="15" t="s">
        <v>9</v>
      </c>
      <c r="B14" s="16">
        <f>SUM(B12:B13)/2</f>
        <v>36183.425000000003</v>
      </c>
      <c r="C14" s="16">
        <f>SUM(C12:C13)/2</f>
        <v>7028.62</v>
      </c>
      <c r="D14" s="16">
        <f t="shared" ref="D14:I14" si="10">SUM(D12:D13)/2</f>
        <v>5.1734627328534142</v>
      </c>
      <c r="E14" s="16">
        <f t="shared" si="10"/>
        <v>3.7</v>
      </c>
      <c r="F14" s="22">
        <f t="shared" si="10"/>
        <v>26005.894</v>
      </c>
      <c r="G14" s="16">
        <f t="shared" si="10"/>
        <v>71.575453943338104</v>
      </c>
      <c r="H14" s="16">
        <f t="shared" si="10"/>
        <v>10177.531000000001</v>
      </c>
      <c r="I14" s="16">
        <f t="shared" si="10"/>
        <v>28.424546056661896</v>
      </c>
    </row>
    <row r="15" spans="1:10">
      <c r="A15" s="12" t="s">
        <v>10</v>
      </c>
      <c r="B15" s="17">
        <f>B14*12</f>
        <v>434201.10000000003</v>
      </c>
      <c r="C15" s="17">
        <f>C14*12</f>
        <v>84343.44</v>
      </c>
      <c r="D15" s="17">
        <f>D14</f>
        <v>5.1734627328534142</v>
      </c>
      <c r="E15" s="17">
        <f>E14</f>
        <v>3.7</v>
      </c>
      <c r="F15" s="23">
        <f>F14*12</f>
        <v>312070.728</v>
      </c>
      <c r="G15" s="17">
        <f>G14</f>
        <v>71.575453943338104</v>
      </c>
      <c r="H15" s="17">
        <f>H14*12</f>
        <v>122130.372</v>
      </c>
      <c r="I15" s="17">
        <f>I14</f>
        <v>28.424546056661896</v>
      </c>
    </row>
    <row r="16" spans="1:10">
      <c r="A16" s="29" t="s">
        <v>11</v>
      </c>
      <c r="B16" s="29"/>
      <c r="C16" s="29"/>
      <c r="D16" s="29"/>
      <c r="E16" s="29"/>
      <c r="F16" s="29"/>
      <c r="G16" s="29"/>
      <c r="H16" s="24">
        <f>H15/B14</f>
        <v>3.375312646605455</v>
      </c>
      <c r="I16" s="24" t="s">
        <v>1</v>
      </c>
    </row>
    <row r="18" spans="1:9">
      <c r="A18" s="30" t="s">
        <v>28</v>
      </c>
      <c r="B18" s="30"/>
      <c r="C18" s="30"/>
      <c r="D18" s="30"/>
      <c r="E18" s="30"/>
      <c r="F18" s="30"/>
      <c r="G18" s="30"/>
      <c r="H18" s="30"/>
      <c r="I18" s="30"/>
    </row>
    <row r="19" spans="1:9">
      <c r="A19" s="8" t="s">
        <v>1</v>
      </c>
      <c r="B19" s="9" t="s">
        <v>2</v>
      </c>
      <c r="C19" s="9" t="s">
        <v>37</v>
      </c>
      <c r="D19" s="9" t="s">
        <v>33</v>
      </c>
      <c r="E19" s="9" t="s">
        <v>34</v>
      </c>
      <c r="F19" s="9" t="s">
        <v>29</v>
      </c>
      <c r="G19" s="9" t="s">
        <v>30</v>
      </c>
      <c r="H19" s="9" t="s">
        <v>31</v>
      </c>
      <c r="I19" s="9" t="s">
        <v>32</v>
      </c>
    </row>
    <row r="20" spans="1:9">
      <c r="A20" s="10">
        <v>244015</v>
      </c>
      <c r="B20" s="19">
        <v>30846.44</v>
      </c>
      <c r="C20" s="20">
        <v>5799.32</v>
      </c>
      <c r="D20" s="11">
        <f>C20/30</f>
        <v>193.31066666666666</v>
      </c>
      <c r="E20" s="11">
        <f>D20/5</f>
        <v>38.66213333333333</v>
      </c>
      <c r="F20" s="21">
        <v>40</v>
      </c>
      <c r="G20" s="11">
        <f>100000*F20/5</f>
        <v>800000</v>
      </c>
      <c r="H20" s="11">
        <f>G20*0.07</f>
        <v>56000.000000000007</v>
      </c>
      <c r="I20" s="11">
        <f>G20+H20</f>
        <v>856000</v>
      </c>
    </row>
    <row r="21" spans="1:9">
      <c r="A21" s="10">
        <v>244044</v>
      </c>
      <c r="B21" s="19">
        <v>41520.410000000003</v>
      </c>
      <c r="C21" s="20">
        <v>8257.92</v>
      </c>
      <c r="D21" s="11">
        <f>C21/30</f>
        <v>275.26400000000001</v>
      </c>
      <c r="E21" s="11">
        <f>D21/5</f>
        <v>55.052800000000005</v>
      </c>
      <c r="F21" s="21">
        <v>55</v>
      </c>
      <c r="G21" s="11">
        <f t="shared" ref="G21:G22" si="11">100000*F21/5</f>
        <v>1100000</v>
      </c>
      <c r="H21" s="11">
        <f t="shared" ref="H21:H22" si="12">G21*0.07</f>
        <v>77000.000000000015</v>
      </c>
      <c r="I21" s="11">
        <f t="shared" ref="I21:I22" si="13">G21+H21</f>
        <v>1177000</v>
      </c>
    </row>
    <row r="22" spans="1:9">
      <c r="A22" s="27" t="s">
        <v>9</v>
      </c>
      <c r="B22" s="18">
        <f>SUM(B20:B21)/2</f>
        <v>36183.425000000003</v>
      </c>
      <c r="C22" s="18">
        <f t="shared" ref="C22:D22" si="14">SUM(C20:C21)/2</f>
        <v>7028.62</v>
      </c>
      <c r="D22" s="18">
        <f t="shared" si="14"/>
        <v>234.28733333333332</v>
      </c>
      <c r="E22" s="18">
        <f>D22/5</f>
        <v>46.857466666666667</v>
      </c>
      <c r="F22" s="25">
        <v>50</v>
      </c>
      <c r="G22" s="18">
        <f t="shared" si="11"/>
        <v>1000000</v>
      </c>
      <c r="H22" s="18">
        <f t="shared" si="12"/>
        <v>70000</v>
      </c>
      <c r="I22" s="18">
        <f t="shared" si="13"/>
        <v>1070000</v>
      </c>
    </row>
    <row r="23" spans="1:9">
      <c r="A23" s="12" t="s">
        <v>10</v>
      </c>
      <c r="B23" s="17">
        <f>B22*12</f>
        <v>434201.10000000003</v>
      </c>
      <c r="C23" s="17">
        <f>C22*12</f>
        <v>84343.44</v>
      </c>
      <c r="D23" s="17">
        <f>D22*12</f>
        <v>2811.4479999999999</v>
      </c>
      <c r="E23" s="17">
        <f>E22*12</f>
        <v>562.28960000000006</v>
      </c>
      <c r="F23" s="17">
        <f>F22*12</f>
        <v>600</v>
      </c>
      <c r="G23" s="17"/>
      <c r="H23" s="17"/>
      <c r="I23" s="17"/>
    </row>
    <row r="24" spans="1:9">
      <c r="A24" s="29" t="s">
        <v>36</v>
      </c>
      <c r="B24" s="29"/>
      <c r="C24" s="29"/>
      <c r="D24" s="29"/>
      <c r="E24" s="29"/>
      <c r="F24" s="29"/>
      <c r="G24" s="29"/>
      <c r="H24" s="24">
        <f>G22/B23</f>
        <v>2.3030803008099241</v>
      </c>
      <c r="I24" s="24" t="s">
        <v>35</v>
      </c>
    </row>
  </sheetData>
  <mergeCells count="6">
    <mergeCell ref="A24:G24"/>
    <mergeCell ref="A1:I1"/>
    <mergeCell ref="A8:G8"/>
    <mergeCell ref="A10:I10"/>
    <mergeCell ref="A16:G16"/>
    <mergeCell ref="A18:I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EC6B7-C110-4B72-A948-FC747C0820D3}">
  <dimension ref="A1:K50"/>
  <sheetViews>
    <sheetView topLeftCell="J33" zoomScale="90" zoomScaleNormal="90" workbookViewId="0">
      <selection activeCell="C33" sqref="C33:F43"/>
    </sheetView>
  </sheetViews>
  <sheetFormatPr defaultRowHeight="18.45"/>
  <cols>
    <col min="1" max="1" width="13.23046875" style="33" customWidth="1"/>
    <col min="2" max="2" width="16.23046875" style="33" bestFit="1" customWidth="1"/>
    <col min="3" max="3" width="16.07421875" style="39" bestFit="1" customWidth="1"/>
    <col min="4" max="4" width="17.921875" style="39" bestFit="1" customWidth="1"/>
    <col min="5" max="5" width="13.23046875" style="39" bestFit="1" customWidth="1"/>
    <col min="6" max="6" width="14.61328125" style="33" bestFit="1" customWidth="1"/>
    <col min="7" max="7" width="9.4609375" style="33" bestFit="1" customWidth="1"/>
    <col min="8" max="8" width="13.07421875" style="33" bestFit="1" customWidth="1"/>
    <col min="9" max="9" width="9.3046875" style="33" bestFit="1" customWidth="1"/>
    <col min="10" max="10" width="9.23046875" style="33"/>
    <col min="11" max="11" width="14.3046875" style="33" bestFit="1" customWidth="1"/>
    <col min="12" max="16384" width="9.23046875" style="33"/>
  </cols>
  <sheetData>
    <row r="1" spans="1:11">
      <c r="A1" s="32" t="s">
        <v>40</v>
      </c>
      <c r="B1" s="32"/>
      <c r="C1" s="32"/>
      <c r="D1" s="32"/>
      <c r="E1" s="32"/>
      <c r="F1" s="32"/>
      <c r="G1" s="32"/>
      <c r="H1" s="32"/>
      <c r="I1" s="32"/>
    </row>
    <row r="2" spans="1:11">
      <c r="A2" s="34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8</v>
      </c>
      <c r="H2" s="35" t="s">
        <v>7</v>
      </c>
      <c r="I2" s="35" t="s">
        <v>8</v>
      </c>
    </row>
    <row r="3" spans="1:11">
      <c r="A3" s="36">
        <v>243953</v>
      </c>
      <c r="B3" s="37">
        <v>198905.9</v>
      </c>
      <c r="C3" s="38">
        <v>33186</v>
      </c>
      <c r="D3" s="39">
        <f>B3/C3</f>
        <v>5.9936690170553844</v>
      </c>
      <c r="E3" s="39">
        <v>5</v>
      </c>
      <c r="F3" s="40">
        <f>C3*E3</f>
        <v>165930</v>
      </c>
      <c r="G3" s="39">
        <f>F3*100/B3</f>
        <v>83.421356530902301</v>
      </c>
      <c r="H3" s="39">
        <f>B3-F3</f>
        <v>32975.899999999994</v>
      </c>
      <c r="I3" s="39">
        <f>100-G3</f>
        <v>16.578643469097699</v>
      </c>
      <c r="K3" s="37">
        <v>198905.9</v>
      </c>
    </row>
    <row r="4" spans="1:11">
      <c r="A4" s="36">
        <v>243953</v>
      </c>
      <c r="B4" s="37">
        <v>37599.25</v>
      </c>
      <c r="C4" s="38">
        <v>7332</v>
      </c>
      <c r="D4" s="39">
        <f t="shared" ref="D4:D5" si="0">B4/C4</f>
        <v>5.1281028368794326</v>
      </c>
      <c r="E4" s="39">
        <v>5</v>
      </c>
      <c r="F4" s="40">
        <f t="shared" ref="F4:F5" si="1">C4*E4</f>
        <v>36660</v>
      </c>
      <c r="G4" s="39">
        <f>F4*100/B4</f>
        <v>97.501944852623396</v>
      </c>
      <c r="H4" s="39">
        <f t="shared" ref="H4:H5" si="2">B4-F4</f>
        <v>939.25</v>
      </c>
      <c r="I4" s="39">
        <f>100-G4</f>
        <v>2.4980551473766042</v>
      </c>
      <c r="K4" s="37">
        <v>37599.25</v>
      </c>
    </row>
    <row r="5" spans="1:11">
      <c r="A5" s="36">
        <v>243923</v>
      </c>
      <c r="B5" s="37">
        <v>71462.95</v>
      </c>
      <c r="C5" s="38">
        <v>11317</v>
      </c>
      <c r="D5" s="39">
        <f t="shared" si="0"/>
        <v>6.3146549438897228</v>
      </c>
      <c r="E5" s="39">
        <v>5</v>
      </c>
      <c r="F5" s="40">
        <f t="shared" si="1"/>
        <v>56585</v>
      </c>
      <c r="G5" s="39">
        <f>F5*100/B5</f>
        <v>79.180890237528686</v>
      </c>
      <c r="H5" s="39">
        <f t="shared" si="2"/>
        <v>14877.949999999997</v>
      </c>
      <c r="I5" s="39">
        <f>100-G5</f>
        <v>20.819109762471314</v>
      </c>
      <c r="K5" s="37">
        <v>71462.95</v>
      </c>
    </row>
    <row r="6" spans="1:11">
      <c r="A6" s="36">
        <v>243984</v>
      </c>
      <c r="B6" s="37">
        <v>135537.4</v>
      </c>
      <c r="C6" s="38">
        <v>22661</v>
      </c>
      <c r="D6" s="39">
        <f t="shared" ref="D6:D15" si="3">B6/C6</f>
        <v>5.9810864480826087</v>
      </c>
      <c r="E6" s="39">
        <v>5</v>
      </c>
      <c r="F6" s="40">
        <f t="shared" ref="F6:F15" si="4">C6*E6</f>
        <v>113305</v>
      </c>
      <c r="G6" s="39">
        <f t="shared" ref="G6:G15" si="5">F6*100/B6</f>
        <v>83.596852234143498</v>
      </c>
      <c r="H6" s="39">
        <f t="shared" ref="H6:H15" si="6">B6-F6</f>
        <v>22232.399999999994</v>
      </c>
      <c r="I6" s="39">
        <f t="shared" ref="I6:I15" si="7">100-G6</f>
        <v>16.403147765856502</v>
      </c>
      <c r="K6" s="41">
        <f>SUM(K3:K5)</f>
        <v>307968.09999999998</v>
      </c>
    </row>
    <row r="7" spans="1:11">
      <c r="A7" s="36"/>
      <c r="B7" s="37">
        <v>27936.5</v>
      </c>
      <c r="C7" s="38">
        <v>5458</v>
      </c>
      <c r="D7" s="39">
        <f t="shared" si="3"/>
        <v>5.1184499816782703</v>
      </c>
      <c r="E7" s="39">
        <v>5</v>
      </c>
      <c r="F7" s="40">
        <f t="shared" si="4"/>
        <v>27290</v>
      </c>
      <c r="G7" s="39">
        <f t="shared" si="5"/>
        <v>97.685823206199771</v>
      </c>
      <c r="H7" s="39">
        <f t="shared" si="6"/>
        <v>646.5</v>
      </c>
      <c r="I7" s="39">
        <f t="shared" si="7"/>
        <v>2.3141767938002289</v>
      </c>
    </row>
    <row r="8" spans="1:11">
      <c r="A8" s="36"/>
      <c r="B8" s="37">
        <v>51189.29</v>
      </c>
      <c r="C8" s="38">
        <v>7749</v>
      </c>
      <c r="D8" s="39">
        <f t="shared" si="3"/>
        <v>6.6059220544586399</v>
      </c>
      <c r="E8" s="39">
        <v>5</v>
      </c>
      <c r="F8" s="40">
        <f t="shared" si="4"/>
        <v>38745</v>
      </c>
      <c r="G8" s="39">
        <f t="shared" si="5"/>
        <v>75.689660864606637</v>
      </c>
      <c r="H8" s="39">
        <f t="shared" si="6"/>
        <v>12444.29</v>
      </c>
      <c r="I8" s="39">
        <f t="shared" si="7"/>
        <v>24.310339135393363</v>
      </c>
    </row>
    <row r="9" spans="1:11">
      <c r="A9" s="36">
        <v>244044</v>
      </c>
      <c r="B9" s="37">
        <v>141279.85</v>
      </c>
      <c r="C9" s="38">
        <v>22732</v>
      </c>
      <c r="D9" s="39">
        <f t="shared" si="3"/>
        <v>6.2150206756994546</v>
      </c>
      <c r="E9" s="39">
        <v>5</v>
      </c>
      <c r="F9" s="40">
        <f t="shared" si="4"/>
        <v>113660</v>
      </c>
      <c r="G9" s="39">
        <f t="shared" si="5"/>
        <v>80.450255291182714</v>
      </c>
      <c r="H9" s="39">
        <f t="shared" si="6"/>
        <v>27619.850000000006</v>
      </c>
      <c r="I9" s="39">
        <f t="shared" si="7"/>
        <v>19.549744708817286</v>
      </c>
    </row>
    <row r="10" spans="1:11">
      <c r="A10" s="36"/>
      <c r="B10" s="37">
        <v>37797.22</v>
      </c>
      <c r="C10" s="38">
        <v>7399</v>
      </c>
      <c r="D10" s="39">
        <f t="shared" si="3"/>
        <v>5.1084227598324103</v>
      </c>
      <c r="E10" s="39">
        <v>5</v>
      </c>
      <c r="F10" s="40">
        <f t="shared" si="4"/>
        <v>36995</v>
      </c>
      <c r="G10" s="39">
        <f t="shared" si="5"/>
        <v>97.877568773576471</v>
      </c>
      <c r="H10" s="39">
        <f t="shared" si="6"/>
        <v>802.22000000000116</v>
      </c>
      <c r="I10" s="39">
        <f t="shared" si="7"/>
        <v>2.1224312264235294</v>
      </c>
    </row>
    <row r="11" spans="1:11">
      <c r="A11" s="36"/>
      <c r="B11" s="37">
        <v>63880.23</v>
      </c>
      <c r="C11" s="38">
        <v>10188</v>
      </c>
      <c r="D11" s="39">
        <f t="shared" si="3"/>
        <v>6.2701442873969375</v>
      </c>
      <c r="E11" s="39">
        <v>5</v>
      </c>
      <c r="F11" s="40">
        <f t="shared" si="4"/>
        <v>50940</v>
      </c>
      <c r="G11" s="39">
        <f t="shared" si="5"/>
        <v>79.742981513998927</v>
      </c>
      <c r="H11" s="39">
        <f t="shared" si="6"/>
        <v>12940.230000000003</v>
      </c>
      <c r="I11" s="39">
        <f t="shared" si="7"/>
        <v>20.257018486001073</v>
      </c>
    </row>
    <row r="12" spans="1:11">
      <c r="A12" s="36">
        <v>244075</v>
      </c>
      <c r="B12" s="37">
        <v>49927.75</v>
      </c>
      <c r="C12" s="38">
        <v>8244</v>
      </c>
      <c r="D12" s="39">
        <f t="shared" si="3"/>
        <v>6.0562530325084909</v>
      </c>
      <c r="E12" s="39">
        <v>5</v>
      </c>
      <c r="F12" s="40">
        <f t="shared" si="4"/>
        <v>41220</v>
      </c>
      <c r="G12" s="39">
        <f t="shared" si="5"/>
        <v>82.559298185878589</v>
      </c>
      <c r="H12" s="39">
        <f t="shared" si="6"/>
        <v>8707.75</v>
      </c>
      <c r="I12" s="39">
        <f t="shared" si="7"/>
        <v>17.440701814121411</v>
      </c>
    </row>
    <row r="13" spans="1:11">
      <c r="A13" s="36"/>
      <c r="B13" s="37">
        <v>90495.2</v>
      </c>
      <c r="C13" s="38">
        <v>14547</v>
      </c>
      <c r="D13" s="39">
        <f t="shared" si="3"/>
        <v>6.2208840310716988</v>
      </c>
      <c r="E13" s="39">
        <v>5</v>
      </c>
      <c r="F13" s="40">
        <f t="shared" si="4"/>
        <v>72735</v>
      </c>
      <c r="G13" s="39">
        <f t="shared" si="5"/>
        <v>80.374428698980722</v>
      </c>
      <c r="H13" s="39">
        <f t="shared" si="6"/>
        <v>17760.199999999997</v>
      </c>
      <c r="I13" s="39">
        <f t="shared" si="7"/>
        <v>19.625571301019278</v>
      </c>
    </row>
    <row r="14" spans="1:11">
      <c r="A14" s="36"/>
      <c r="B14" s="37">
        <v>43451.35</v>
      </c>
      <c r="C14" s="38">
        <v>8520</v>
      </c>
      <c r="D14" s="39">
        <f t="shared" si="3"/>
        <v>5.0999237089201879</v>
      </c>
      <c r="E14" s="39">
        <v>5</v>
      </c>
      <c r="F14" s="40">
        <f t="shared" si="4"/>
        <v>42600</v>
      </c>
      <c r="G14" s="39">
        <f t="shared" si="5"/>
        <v>98.040682280297389</v>
      </c>
      <c r="H14" s="39">
        <f t="shared" si="6"/>
        <v>851.34999999999854</v>
      </c>
      <c r="I14" s="39">
        <f t="shared" si="7"/>
        <v>1.9593177197026108</v>
      </c>
    </row>
    <row r="15" spans="1:11">
      <c r="A15" s="36">
        <v>244105</v>
      </c>
      <c r="B15" s="37">
        <v>61697.69</v>
      </c>
      <c r="C15" s="38">
        <v>9695</v>
      </c>
      <c r="D15" s="39">
        <f t="shared" si="3"/>
        <v>6.363866941722538</v>
      </c>
      <c r="E15" s="39">
        <v>5</v>
      </c>
      <c r="F15" s="40">
        <f t="shared" si="4"/>
        <v>48475</v>
      </c>
      <c r="G15" s="39">
        <f t="shared" si="5"/>
        <v>78.568581741066808</v>
      </c>
      <c r="H15" s="39">
        <f t="shared" si="6"/>
        <v>13222.690000000002</v>
      </c>
      <c r="I15" s="39">
        <f t="shared" si="7"/>
        <v>21.431418258933192</v>
      </c>
    </row>
    <row r="16" spans="1:11">
      <c r="B16" s="37">
        <v>30436.1</v>
      </c>
      <c r="C16" s="38">
        <v>5980</v>
      </c>
      <c r="D16" s="39">
        <f t="shared" ref="D16:D18" si="8">B16/C16</f>
        <v>5.0896488294314377</v>
      </c>
      <c r="E16" s="39">
        <v>5</v>
      </c>
      <c r="F16" s="40">
        <f t="shared" ref="F16:F17" si="9">C16*E16</f>
        <v>29900</v>
      </c>
      <c r="G16" s="39">
        <f t="shared" ref="G16:G17" si="10">F16*100/B16</f>
        <v>98.238604814677316</v>
      </c>
      <c r="H16" s="39">
        <f t="shared" ref="H16:H17" si="11">B16-F16</f>
        <v>536.09999999999854</v>
      </c>
      <c r="I16" s="39">
        <f t="shared" ref="I16:I17" si="12">100-G16</f>
        <v>1.7613951853226837</v>
      </c>
    </row>
    <row r="17" spans="2:9">
      <c r="B17" s="37">
        <v>29201.77</v>
      </c>
      <c r="C17" s="38">
        <v>4348</v>
      </c>
      <c r="D17" s="39">
        <f t="shared" si="8"/>
        <v>6.7161384544618219</v>
      </c>
      <c r="E17" s="39">
        <v>5</v>
      </c>
      <c r="F17" s="40">
        <f t="shared" si="9"/>
        <v>21740</v>
      </c>
      <c r="G17" s="39">
        <f t="shared" si="10"/>
        <v>74.447542049677125</v>
      </c>
      <c r="H17" s="39">
        <f t="shared" si="11"/>
        <v>7461.77</v>
      </c>
      <c r="I17" s="39">
        <f t="shared" si="12"/>
        <v>25.552457950322875</v>
      </c>
    </row>
    <row r="18" spans="2:9">
      <c r="B18" s="41">
        <f>SUM(B3:B17)</f>
        <v>1070798.4499999997</v>
      </c>
      <c r="C18" s="39">
        <f>SUM(C3:C17)</f>
        <v>179356</v>
      </c>
      <c r="D18" s="39">
        <f t="shared" si="8"/>
        <v>5.9702404714645718</v>
      </c>
      <c r="E18" s="39">
        <v>4.6729000000000003</v>
      </c>
      <c r="F18" s="41"/>
    </row>
    <row r="19" spans="2:9">
      <c r="E19" s="39">
        <v>5</v>
      </c>
      <c r="F19" s="33">
        <f>E19/1.07</f>
        <v>4.6728971962616823</v>
      </c>
    </row>
    <row r="20" spans="2:9">
      <c r="E20" s="39">
        <f>D18-E18</f>
        <v>1.2973404714645715</v>
      </c>
    </row>
    <row r="33" spans="1:6">
      <c r="A33" s="33" t="s">
        <v>41</v>
      </c>
      <c r="C33" s="39" t="s">
        <v>44</v>
      </c>
      <c r="D33" s="39" t="s">
        <v>43</v>
      </c>
      <c r="E33" s="39" t="s">
        <v>30</v>
      </c>
    </row>
    <row r="34" spans="1:6">
      <c r="A34" s="36">
        <v>243953</v>
      </c>
      <c r="B34" s="33" t="s">
        <v>42</v>
      </c>
      <c r="C34" s="39">
        <f>94127.68+48090</f>
        <v>142217.68</v>
      </c>
      <c r="D34" s="39">
        <v>21740</v>
      </c>
      <c r="E34" s="39">
        <f>C34/D34</f>
        <v>6.5417516099356021</v>
      </c>
      <c r="F34" s="41">
        <f>E34/1.07</f>
        <v>6.1137865513416836</v>
      </c>
    </row>
    <row r="35" spans="1:6">
      <c r="C35" s="39">
        <f>69780.17+34230</f>
        <v>104010.17</v>
      </c>
      <c r="D35" s="39">
        <v>13807</v>
      </c>
      <c r="E35" s="39">
        <f>C35/D35</f>
        <v>7.5331476787136955</v>
      </c>
    </row>
    <row r="36" spans="1:6">
      <c r="C36" s="39">
        <f>24904.43+14280</f>
        <v>39184.43</v>
      </c>
      <c r="D36" s="39">
        <v>5752</v>
      </c>
      <c r="E36" s="39">
        <f>C36/D36</f>
        <v>6.8123139777468706</v>
      </c>
    </row>
    <row r="37" spans="1:6">
      <c r="C37" s="39">
        <f>65010.45+38010</f>
        <v>103020.45</v>
      </c>
      <c r="D37" s="39">
        <v>15015</v>
      </c>
      <c r="E37" s="39">
        <f>C37/D37</f>
        <v>6.8611688311688308</v>
      </c>
    </row>
    <row r="38" spans="1:6">
      <c r="C38" s="39">
        <f>31723.73+16380</f>
        <v>48103.729999999996</v>
      </c>
      <c r="D38" s="39">
        <v>7327</v>
      </c>
      <c r="E38" s="39">
        <f>C38/D38</f>
        <v>6.5652695509758425</v>
      </c>
    </row>
    <row r="39" spans="1:6">
      <c r="C39" s="39">
        <f>24588.37+21970</f>
        <v>46558.369999999995</v>
      </c>
      <c r="D39" s="39">
        <v>5678</v>
      </c>
      <c r="E39" s="39">
        <f>C39/D39</f>
        <v>8.1997833744276143</v>
      </c>
    </row>
    <row r="40" spans="1:6">
      <c r="C40" s="39">
        <f>39828.91+24990</f>
        <v>64818.91</v>
      </c>
      <c r="D40" s="39">
        <v>9199</v>
      </c>
      <c r="E40" s="39">
        <f>C40/D40</f>
        <v>7.0462995977823679</v>
      </c>
    </row>
    <row r="41" spans="1:6">
      <c r="C41" s="39">
        <f>21163.57+19950</f>
        <v>41113.57</v>
      </c>
      <c r="D41" s="39">
        <v>4888</v>
      </c>
      <c r="E41" s="39">
        <f>C41/D41</f>
        <v>8.411123158756137</v>
      </c>
    </row>
    <row r="42" spans="1:6">
      <c r="C42" s="39">
        <f>11426.08+9450</f>
        <v>20876.080000000002</v>
      </c>
      <c r="D42" s="39">
        <v>2639</v>
      </c>
      <c r="E42" s="39">
        <f>C42/D42</f>
        <v>7.9106025009473289</v>
      </c>
    </row>
    <row r="43" spans="1:6">
      <c r="E43" s="39">
        <f>SUM(E34:E42)/9</f>
        <v>7.3201622533838098</v>
      </c>
    </row>
    <row r="45" spans="1:6">
      <c r="E45" s="39" t="e">
        <f t="shared" ref="E37:E50" si="13">C45/D45</f>
        <v>#DIV/0!</v>
      </c>
    </row>
    <row r="46" spans="1:6">
      <c r="E46" s="39" t="e">
        <f t="shared" si="13"/>
        <v>#DIV/0!</v>
      </c>
    </row>
    <row r="47" spans="1:6">
      <c r="E47" s="39" t="e">
        <f t="shared" si="13"/>
        <v>#DIV/0!</v>
      </c>
    </row>
    <row r="48" spans="1:6">
      <c r="E48" s="39" t="e">
        <f t="shared" si="13"/>
        <v>#DIV/0!</v>
      </c>
    </row>
    <row r="49" spans="5:5">
      <c r="E49" s="39" t="e">
        <f t="shared" si="13"/>
        <v>#DIV/0!</v>
      </c>
    </row>
    <row r="50" spans="5:5">
      <c r="E50" s="39" t="e">
        <f t="shared" si="13"/>
        <v>#DIV/0!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2FE0-2CC6-49C8-92D0-8FB48F79D2F3}">
  <dimension ref="A1:D11"/>
  <sheetViews>
    <sheetView tabSelected="1" workbookViewId="0">
      <selection activeCell="B5" sqref="B5"/>
    </sheetView>
  </sheetViews>
  <sheetFormatPr defaultRowHeight="14.6"/>
  <cols>
    <col min="1" max="1" width="14.3046875" bestFit="1" customWidth="1"/>
    <col min="2" max="2" width="12.921875" bestFit="1" customWidth="1"/>
    <col min="3" max="3" width="7.4609375" bestFit="1" customWidth="1"/>
  </cols>
  <sheetData>
    <row r="1" spans="1:4" ht="18.45">
      <c r="A1" s="39" t="s">
        <v>44</v>
      </c>
      <c r="B1" s="39" t="s">
        <v>43</v>
      </c>
      <c r="C1" s="39" t="s">
        <v>30</v>
      </c>
      <c r="D1" s="33"/>
    </row>
    <row r="2" spans="1:4" ht="18.45">
      <c r="A2" s="39">
        <f>21380.06+12390</f>
        <v>33770.06</v>
      </c>
      <c r="B2" s="39">
        <v>4938</v>
      </c>
      <c r="C2" s="39">
        <f>A2/B2</f>
        <v>6.8388132847306595</v>
      </c>
      <c r="D2" s="41">
        <f>C2/1.07</f>
        <v>6.3914142847950082</v>
      </c>
    </row>
    <row r="3" spans="1:4" ht="18.45">
      <c r="A3" s="39">
        <f>25103.4+9969.75</f>
        <v>35073.15</v>
      </c>
      <c r="B3" s="39">
        <v>6000</v>
      </c>
      <c r="C3" s="39">
        <f>A3/B3</f>
        <v>5.8455250000000003</v>
      </c>
      <c r="D3" s="33"/>
    </row>
    <row r="4" spans="1:4" ht="18.45">
      <c r="A4" s="39">
        <f>17226.84+15960</f>
        <v>33186.839999999997</v>
      </c>
      <c r="B4" s="39">
        <v>3988</v>
      </c>
      <c r="C4" s="39">
        <f>A4/B4</f>
        <v>8.3216750250752245</v>
      </c>
      <c r="D4" s="33"/>
    </row>
    <row r="5" spans="1:4" ht="18.45">
      <c r="A5" s="39">
        <f>65010.45+38010</f>
        <v>103020.45</v>
      </c>
      <c r="B5" s="39">
        <v>15015</v>
      </c>
      <c r="C5" s="39">
        <f>A5/B5</f>
        <v>6.8611688311688308</v>
      </c>
      <c r="D5" s="33"/>
    </row>
    <row r="6" spans="1:4" ht="18.45">
      <c r="A6" s="39">
        <f>31723.73+16380</f>
        <v>48103.729999999996</v>
      </c>
      <c r="B6" s="39">
        <v>7327</v>
      </c>
      <c r="C6" s="39">
        <f>A6/B6</f>
        <v>6.5652695509758425</v>
      </c>
      <c r="D6" s="33"/>
    </row>
    <row r="7" spans="1:4" ht="18.45">
      <c r="A7" s="39">
        <f>24588.37+21970</f>
        <v>46558.369999999995</v>
      </c>
      <c r="B7" s="39">
        <v>5678</v>
      </c>
      <c r="C7" s="39">
        <f>A7/B7</f>
        <v>8.1997833744276143</v>
      </c>
      <c r="D7" s="33"/>
    </row>
    <row r="8" spans="1:4" ht="18.45">
      <c r="A8" s="39">
        <f>39828.91+24990</f>
        <v>64818.91</v>
      </c>
      <c r="B8" s="39">
        <v>9199</v>
      </c>
      <c r="C8" s="39">
        <f>A8/B8</f>
        <v>7.0462995977823679</v>
      </c>
      <c r="D8" s="33"/>
    </row>
    <row r="9" spans="1:4" ht="18.45">
      <c r="A9" s="39">
        <f>21163.57+19950</f>
        <v>41113.57</v>
      </c>
      <c r="B9" s="39">
        <v>4888</v>
      </c>
      <c r="C9" s="39">
        <f>A9/B9</f>
        <v>8.411123158756137</v>
      </c>
      <c r="D9" s="33"/>
    </row>
    <row r="10" spans="1:4" ht="18.45">
      <c r="A10" s="39">
        <f>11426.08+9450</f>
        <v>20876.080000000002</v>
      </c>
      <c r="B10" s="39">
        <v>2639</v>
      </c>
      <c r="C10" s="39">
        <f>A10/B10</f>
        <v>7.9106025009473289</v>
      </c>
      <c r="D10" s="33"/>
    </row>
    <row r="11" spans="1:4" ht="18.45">
      <c r="A11" s="39"/>
      <c r="B11" s="39"/>
      <c r="C11" s="39">
        <f>SUM(C2:C10)/9</f>
        <v>7.3333622582071127</v>
      </c>
      <c r="D11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C06C-FC6A-4451-99B4-7B8C3C8567EF}">
  <dimension ref="A1:D28"/>
  <sheetViews>
    <sheetView workbookViewId="0">
      <selection activeCell="G9" sqref="G9"/>
    </sheetView>
  </sheetViews>
  <sheetFormatPr defaultRowHeight="14.6"/>
  <cols>
    <col min="1" max="1" width="15.3046875" customWidth="1"/>
    <col min="2" max="2" width="26.3828125" style="4" bestFit="1" customWidth="1"/>
    <col min="3" max="4" width="23.3046875" style="4" customWidth="1"/>
  </cols>
  <sheetData>
    <row r="1" spans="1:4" ht="23.15">
      <c r="A1" s="31" t="s">
        <v>13</v>
      </c>
      <c r="B1" s="31"/>
      <c r="C1" s="31"/>
      <c r="D1" s="31"/>
    </row>
    <row r="2" spans="1:4" ht="23.15">
      <c r="A2" s="2" t="s">
        <v>1</v>
      </c>
      <c r="B2" s="3" t="s">
        <v>2</v>
      </c>
      <c r="C2" s="3" t="s">
        <v>3</v>
      </c>
      <c r="D2" s="3" t="s">
        <v>4</v>
      </c>
    </row>
    <row r="3" spans="1:4" ht="23.15">
      <c r="A3" s="5" t="s">
        <v>14</v>
      </c>
      <c r="B3" s="6">
        <v>242463.17</v>
      </c>
      <c r="C3" s="6">
        <v>47000</v>
      </c>
      <c r="D3" s="6">
        <f>B3/C3</f>
        <v>5.1587908510638298</v>
      </c>
    </row>
    <row r="4" spans="1:4" ht="23.15">
      <c r="A4" s="5" t="s">
        <v>20</v>
      </c>
      <c r="B4" s="6">
        <v>242187.35</v>
      </c>
      <c r="C4" s="6">
        <v>46000</v>
      </c>
      <c r="D4" s="6">
        <f t="shared" ref="D4:D16" si="0">B4/C4</f>
        <v>5.2649423913043476</v>
      </c>
    </row>
    <row r="5" spans="1:4" ht="23.15">
      <c r="A5" s="5" t="s">
        <v>19</v>
      </c>
      <c r="B5" s="6">
        <v>248926.34</v>
      </c>
      <c r="C5" s="6">
        <v>47000</v>
      </c>
      <c r="D5" s="6">
        <f t="shared" si="0"/>
        <v>5.2963051063829782</v>
      </c>
    </row>
    <row r="6" spans="1:4" ht="23.15">
      <c r="A6" s="5" t="s">
        <v>18</v>
      </c>
      <c r="B6" s="6">
        <v>263885.95</v>
      </c>
      <c r="C6" s="6">
        <v>51000</v>
      </c>
      <c r="D6" s="6">
        <f t="shared" si="0"/>
        <v>5.1742343137254903</v>
      </c>
    </row>
    <row r="7" spans="1:4" ht="23.15">
      <c r="A7" s="5" t="s">
        <v>17</v>
      </c>
      <c r="B7" s="6">
        <v>255461.15</v>
      </c>
      <c r="C7" s="6">
        <v>49000</v>
      </c>
      <c r="D7" s="6">
        <f t="shared" si="0"/>
        <v>5.2134928571428567</v>
      </c>
    </row>
    <row r="8" spans="1:4" ht="23.15">
      <c r="A8" s="5" t="s">
        <v>16</v>
      </c>
      <c r="B8" s="6">
        <v>265565.93</v>
      </c>
      <c r="C8" s="6">
        <v>51000</v>
      </c>
      <c r="D8" s="6">
        <f t="shared" si="0"/>
        <v>5.2071750980392153</v>
      </c>
    </row>
    <row r="9" spans="1:4" ht="23.15">
      <c r="A9" s="5" t="s">
        <v>15</v>
      </c>
      <c r="B9" s="6">
        <v>255461.15</v>
      </c>
      <c r="C9" s="6">
        <v>49000</v>
      </c>
      <c r="D9" s="6">
        <f t="shared" si="0"/>
        <v>5.2134928571428567</v>
      </c>
    </row>
    <row r="10" spans="1:4" ht="23.15">
      <c r="A10" s="5" t="s">
        <v>21</v>
      </c>
      <c r="B10" s="6">
        <v>244071.52</v>
      </c>
      <c r="C10" s="6">
        <v>45000</v>
      </c>
      <c r="D10" s="6">
        <f t="shared" si="0"/>
        <v>5.4238115555555551</v>
      </c>
    </row>
    <row r="11" spans="1:4" ht="23.15">
      <c r="A11" s="5" t="s">
        <v>27</v>
      </c>
      <c r="B11" s="6">
        <v>271025.89</v>
      </c>
      <c r="C11" s="6">
        <v>51000</v>
      </c>
      <c r="D11" s="6">
        <f t="shared" si="0"/>
        <v>5.3142331372549023</v>
      </c>
    </row>
    <row r="12" spans="1:4" ht="23.15">
      <c r="A12" s="5" t="s">
        <v>26</v>
      </c>
      <c r="B12" s="6">
        <v>289370.33</v>
      </c>
      <c r="C12" s="6">
        <v>57000</v>
      </c>
      <c r="D12" s="6">
        <f t="shared" si="0"/>
        <v>5.0766724561403516</v>
      </c>
    </row>
    <row r="13" spans="1:4" ht="23.15">
      <c r="A13" s="5" t="s">
        <v>25</v>
      </c>
      <c r="B13" s="6">
        <v>232274.32</v>
      </c>
      <c r="C13" s="6">
        <v>42000</v>
      </c>
      <c r="D13" s="6">
        <f t="shared" si="0"/>
        <v>5.5303409523809526</v>
      </c>
    </row>
    <row r="14" spans="1:4" ht="23.15">
      <c r="A14" s="5" t="s">
        <v>24</v>
      </c>
      <c r="B14" s="6">
        <v>281575.53000000003</v>
      </c>
      <c r="C14" s="6">
        <v>55000</v>
      </c>
      <c r="D14" s="6">
        <f t="shared" si="0"/>
        <v>5.119555090909091</v>
      </c>
    </row>
    <row r="15" spans="1:4" ht="23.15">
      <c r="A15" s="5" t="s">
        <v>23</v>
      </c>
      <c r="B15" s="6">
        <v>264939.13</v>
      </c>
      <c r="C15" s="6">
        <v>51000</v>
      </c>
      <c r="D15" s="6">
        <f t="shared" si="0"/>
        <v>5.1948849019607843</v>
      </c>
    </row>
    <row r="16" spans="1:4" ht="23.15">
      <c r="A16" s="5" t="s">
        <v>22</v>
      </c>
      <c r="B16" s="6">
        <v>236486.71</v>
      </c>
      <c r="C16" s="6">
        <v>43000</v>
      </c>
      <c r="D16" s="6">
        <f t="shared" si="0"/>
        <v>5.4996909302325578</v>
      </c>
    </row>
    <row r="17" spans="1:4" ht="23.15">
      <c r="A17" s="1" t="s">
        <v>9</v>
      </c>
      <c r="B17" s="7">
        <f>SUM(B3:B16)/14</f>
        <v>256692.46214285711</v>
      </c>
      <c r="C17" s="7">
        <f>SUM(C3:C16)/14</f>
        <v>48857.142857142855</v>
      </c>
      <c r="D17" s="7">
        <f>SUM(D3:D16)/14</f>
        <v>5.2634016070882694</v>
      </c>
    </row>
    <row r="18" spans="1:4" ht="25.5" customHeight="1">
      <c r="A18" s="5"/>
      <c r="B18" s="28" t="s">
        <v>38</v>
      </c>
      <c r="C18" s="7">
        <f>C17/30/5</f>
        <v>325.71428571428567</v>
      </c>
      <c r="D18" s="28" t="s">
        <v>39</v>
      </c>
    </row>
    <row r="19" spans="1:4" ht="23.15">
      <c r="A19" s="5"/>
      <c r="B19" s="6"/>
      <c r="C19" s="6"/>
      <c r="D19" s="6"/>
    </row>
    <row r="20" spans="1:4" ht="23.15">
      <c r="A20" s="5"/>
      <c r="B20" s="6"/>
      <c r="C20" s="6"/>
      <c r="D20" s="6"/>
    </row>
    <row r="21" spans="1:4" ht="23.15">
      <c r="A21" s="5"/>
      <c r="B21" s="6"/>
      <c r="C21" s="6"/>
      <c r="D21" s="6"/>
    </row>
    <row r="22" spans="1:4" ht="23.15">
      <c r="A22" s="5"/>
      <c r="B22" s="6"/>
      <c r="C22" s="6"/>
      <c r="D22" s="6"/>
    </row>
    <row r="23" spans="1:4" ht="23.15">
      <c r="A23" s="5"/>
      <c r="B23" s="6"/>
      <c r="C23" s="6"/>
      <c r="D23" s="6"/>
    </row>
    <row r="24" spans="1:4" ht="23.15">
      <c r="A24" s="5"/>
      <c r="B24" s="6"/>
      <c r="C24" s="6"/>
      <c r="D24" s="6"/>
    </row>
    <row r="25" spans="1:4" ht="23.15">
      <c r="A25" s="5"/>
      <c r="B25" s="6"/>
      <c r="C25" s="6"/>
      <c r="D25" s="6"/>
    </row>
    <row r="26" spans="1:4" ht="23.15">
      <c r="A26" s="5"/>
      <c r="B26" s="6"/>
      <c r="C26" s="6"/>
      <c r="D26" s="6"/>
    </row>
    <row r="27" spans="1:4" ht="23.15">
      <c r="A27" s="5"/>
      <c r="B27" s="6"/>
      <c r="C27" s="6"/>
      <c r="D27" s="6"/>
    </row>
    <row r="28" spans="1:4" ht="23.15">
      <c r="A28" s="5"/>
      <c r="B28" s="6"/>
      <c r="C28" s="6"/>
      <c r="D28" s="6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คำนวณค่าไฟฟ้า</vt:lpstr>
      <vt:lpstr>หนองจอก</vt:lpstr>
      <vt:lpstr>บดินทรเดชา 4</vt:lpstr>
      <vt:lpstr>บริษัทเพาเดอร์พลัส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dcterms:created xsi:type="dcterms:W3CDTF">2025-04-24T17:53:44Z</dcterms:created>
  <dcterms:modified xsi:type="dcterms:W3CDTF">2025-05-26T20:22:10Z</dcterms:modified>
</cp:coreProperties>
</file>