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oa1NAS220C35\Public\แผนที่ใช้กับโครงการโซล่าเซลล์\PPA\"/>
    </mc:Choice>
  </mc:AlternateContent>
  <xr:revisionPtr revIDLastSave="0" documentId="13_ncr:1_{41A33F30-C799-4616-AFB7-11C1DF56AE43}" xr6:coauthVersionLast="47" xr6:coauthVersionMax="47" xr10:uidLastSave="{00000000-0000-0000-0000-000000000000}"/>
  <bookViews>
    <workbookView xWindow="-120" yWindow="-120" windowWidth="29040" windowHeight="15720" xr2:uid="{8D1E44D3-83D1-4F13-8EEC-3283413F21DA}"/>
  </bookViews>
  <sheets>
    <sheet name="กฟภ." sheetId="1" r:id="rId1"/>
  </sheets>
  <externalReferences>
    <externalReference r:id="rId2"/>
  </externalReferences>
  <definedNames>
    <definedName name="_xlnm.Print_Area" localSheetId="0">กฟภ.!$A$1:$S$41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N7" i="1"/>
  <c r="N39" i="1"/>
  <c r="K39" i="1"/>
  <c r="D3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7" i="1"/>
  <c r="S5" i="1"/>
  <c r="S7" i="1" s="1"/>
  <c r="Q7" i="1" s="1"/>
  <c r="Q14" i="1" s="1"/>
  <c r="D6" i="1" s="1"/>
  <c r="N6" i="1"/>
  <c r="Q39" i="1"/>
  <c r="B37" i="1"/>
  <c r="Q21" i="1"/>
  <c r="Q11" i="1"/>
  <c r="Q12" i="1" s="1"/>
  <c r="K6" i="1"/>
  <c r="C6" i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F6" i="1" l="1"/>
  <c r="E6" i="1"/>
  <c r="D7" i="1"/>
  <c r="G6" i="1" l="1"/>
  <c r="F7" i="1"/>
  <c r="E7" i="1"/>
  <c r="D8" i="1"/>
  <c r="F8" i="1" s="1"/>
  <c r="G7" i="1" l="1"/>
  <c r="K7" i="1"/>
  <c r="E8" i="1"/>
  <c r="G8" i="1" s="1"/>
  <c r="D9" i="1"/>
  <c r="M7" i="1" l="1"/>
  <c r="D10" i="1"/>
  <c r="F9" i="1"/>
  <c r="E9" i="1"/>
  <c r="G9" i="1" s="1"/>
  <c r="K8" i="1"/>
  <c r="M8" i="1" l="1"/>
  <c r="F10" i="1"/>
  <c r="E10" i="1"/>
  <c r="G10" i="1" s="1"/>
  <c r="D11" i="1"/>
  <c r="K9" i="1"/>
  <c r="M9" i="1" l="1"/>
  <c r="F11" i="1"/>
  <c r="E11" i="1"/>
  <c r="D12" i="1"/>
  <c r="K10" i="1"/>
  <c r="G11" i="1" l="1"/>
  <c r="M10" i="1"/>
  <c r="K11" i="1"/>
  <c r="F12" i="1"/>
  <c r="D13" i="1"/>
  <c r="E12" i="1"/>
  <c r="G12" i="1" s="1"/>
  <c r="F13" i="1" l="1"/>
  <c r="E13" i="1"/>
  <c r="D14" i="1"/>
  <c r="K12" i="1"/>
  <c r="M11" i="1"/>
  <c r="G13" i="1" l="1"/>
  <c r="M12" i="1"/>
  <c r="D15" i="1"/>
  <c r="E14" i="1"/>
  <c r="F14" i="1"/>
  <c r="K13" i="1"/>
  <c r="G14" i="1" l="1"/>
  <c r="F15" i="1"/>
  <c r="E15" i="1"/>
  <c r="G15" i="1" s="1"/>
  <c r="D16" i="1"/>
  <c r="K14" i="1"/>
  <c r="M13" i="1"/>
  <c r="M14" i="1" l="1"/>
  <c r="D17" i="1"/>
  <c r="F16" i="1"/>
  <c r="E16" i="1"/>
  <c r="G16" i="1" s="1"/>
  <c r="K15" i="1"/>
  <c r="M15" i="1" l="1"/>
  <c r="K16" i="1"/>
  <c r="E17" i="1"/>
  <c r="D18" i="1"/>
  <c r="F17" i="1"/>
  <c r="G17" i="1" l="1"/>
  <c r="F18" i="1"/>
  <c r="E18" i="1"/>
  <c r="D19" i="1"/>
  <c r="K17" i="1"/>
  <c r="M16" i="1"/>
  <c r="G18" i="1" l="1"/>
  <c r="M17" i="1"/>
  <c r="F19" i="1"/>
  <c r="D20" i="1"/>
  <c r="E19" i="1"/>
  <c r="K18" i="1"/>
  <c r="G19" i="1" l="1"/>
  <c r="M18" i="1"/>
  <c r="K19" i="1"/>
  <c r="F20" i="1"/>
  <c r="E20" i="1"/>
  <c r="G20" i="1" s="1"/>
  <c r="D21" i="1"/>
  <c r="D22" i="1" l="1"/>
  <c r="F21" i="1"/>
  <c r="E21" i="1"/>
  <c r="K20" i="1"/>
  <c r="M19" i="1"/>
  <c r="G21" i="1" l="1"/>
  <c r="M20" i="1"/>
  <c r="K21" i="1"/>
  <c r="E22" i="1"/>
  <c r="F22" i="1"/>
  <c r="D23" i="1"/>
  <c r="G22" i="1" l="1"/>
  <c r="F23" i="1"/>
  <c r="E23" i="1"/>
  <c r="G23" i="1" s="1"/>
  <c r="D24" i="1"/>
  <c r="K22" i="1"/>
  <c r="M21" i="1"/>
  <c r="K23" i="1" l="1"/>
  <c r="M22" i="1"/>
  <c r="F24" i="1"/>
  <c r="D25" i="1"/>
  <c r="E24" i="1"/>
  <c r="G24" i="1" s="1"/>
  <c r="D26" i="1" l="1"/>
  <c r="F25" i="1"/>
  <c r="E25" i="1"/>
  <c r="K24" i="1"/>
  <c r="M23" i="1"/>
  <c r="G25" i="1" l="1"/>
  <c r="M24" i="1"/>
  <c r="K25" i="1"/>
  <c r="F26" i="1"/>
  <c r="D27" i="1"/>
  <c r="E26" i="1"/>
  <c r="G26" i="1" s="1"/>
  <c r="F27" i="1" l="1"/>
  <c r="E27" i="1"/>
  <c r="G27" i="1" s="1"/>
  <c r="D28" i="1"/>
  <c r="K26" i="1"/>
  <c r="M25" i="1"/>
  <c r="M26" i="1" l="1"/>
  <c r="D29" i="1"/>
  <c r="F28" i="1"/>
  <c r="E28" i="1"/>
  <c r="G28" i="1" s="1"/>
  <c r="K27" i="1"/>
  <c r="M27" i="1" l="1"/>
  <c r="K28" i="1"/>
  <c r="F29" i="1"/>
  <c r="E29" i="1"/>
  <c r="D30" i="1"/>
  <c r="G29" i="1" l="1"/>
  <c r="D31" i="1"/>
  <c r="F30" i="1"/>
  <c r="E30" i="1"/>
  <c r="K29" i="1"/>
  <c r="M28" i="1"/>
  <c r="G30" i="1" l="1"/>
  <c r="M29" i="1"/>
  <c r="K30" i="1"/>
  <c r="E31" i="1"/>
  <c r="D32" i="1"/>
  <c r="F31" i="1"/>
  <c r="G31" i="1" l="1"/>
  <c r="F32" i="1"/>
  <c r="E32" i="1"/>
  <c r="D33" i="1"/>
  <c r="K31" i="1"/>
  <c r="M30" i="1"/>
  <c r="G32" i="1" l="1"/>
  <c r="K32" i="1"/>
  <c r="M31" i="1"/>
  <c r="F33" i="1"/>
  <c r="D34" i="1"/>
  <c r="E33" i="1"/>
  <c r="G33" i="1" s="1"/>
  <c r="K33" i="1" l="1"/>
  <c r="F34" i="1"/>
  <c r="E34" i="1"/>
  <c r="D35" i="1"/>
  <c r="M32" i="1"/>
  <c r="G34" i="1" l="1"/>
  <c r="K34" i="1"/>
  <c r="M33" i="1"/>
  <c r="D36" i="1"/>
  <c r="E35" i="1"/>
  <c r="F35" i="1"/>
  <c r="G35" i="1" l="1"/>
  <c r="K35" i="1"/>
  <c r="F36" i="1"/>
  <c r="E36" i="1"/>
  <c r="M34" i="1"/>
  <c r="G36" i="1" l="1"/>
  <c r="J37" i="1"/>
  <c r="K36" i="1"/>
  <c r="M35" i="1"/>
  <c r="M36" i="1" l="1"/>
  <c r="K41" i="1"/>
  <c r="N41" i="1" l="1"/>
  <c r="N37" i="1"/>
</calcChain>
</file>

<file path=xl/sharedStrings.xml><?xml version="1.0" encoding="utf-8"?>
<sst xmlns="http://schemas.openxmlformats.org/spreadsheetml/2006/main" count="54" uniqueCount="44">
  <si>
    <t xml:space="preserve"> </t>
  </si>
  <si>
    <t>การประเมินการผลิตพลังงานไฟฟ้า Solar Rooftop</t>
  </si>
  <si>
    <t>กำลังการผลิตไฟฟ้า</t>
  </si>
  <si>
    <t xml:space="preserve">ค่าไฟฟ้า Solar Roof Top </t>
  </si>
  <si>
    <t>Year</t>
  </si>
  <si>
    <t>Solar Degradation (%)</t>
  </si>
  <si>
    <t>Solar Installation Capacity (Wp)</t>
  </si>
  <si>
    <t>Solar Power Production (kWh/Year)</t>
  </si>
  <si>
    <t>Power Production (kWh/Year)</t>
  </si>
  <si>
    <t>Total Power Cost</t>
  </si>
  <si>
    <t>รวมรายได้ก่อนหักค่าใช้จ่าย</t>
  </si>
  <si>
    <t>รวมรายได้หลังหักค่าใช้จ่ายบริหารฯ</t>
  </si>
  <si>
    <t>Total</t>
  </si>
  <si>
    <t>Baht / kWh</t>
  </si>
  <si>
    <t>Baht/Year</t>
  </si>
  <si>
    <t>ขนาดกำลังผลิตติดตั้ง</t>
  </si>
  <si>
    <t>Wp</t>
  </si>
  <si>
    <t>พลังงานไฟฟ้าที่ผลิตได้ต่อปี</t>
  </si>
  <si>
    <t>kWh / Year</t>
  </si>
  <si>
    <t>จำนวนวันหยุดเดินเครื่อง</t>
  </si>
  <si>
    <t>Day / Year</t>
  </si>
  <si>
    <t>คิดเป็น %</t>
  </si>
  <si>
    <t>คงเหลือพลังงานไฟฟ้าที่ผลิตได้ต่อปี</t>
  </si>
  <si>
    <t>ส่วนลดค่าจัดการพลังงาน</t>
  </si>
  <si>
    <t>จำนวนวันที่ใช้งานปกติ 7 วัน/สัปดาห์</t>
  </si>
  <si>
    <t>อัตราส่วนกำลังไฟฟ้าช่วงวันหยุด/ช่วง Peak</t>
  </si>
  <si>
    <t>SUM</t>
  </si>
  <si>
    <t>Break Even Point</t>
  </si>
  <si>
    <t>4.5 ปี</t>
  </si>
  <si>
    <t>IRR</t>
  </si>
  <si>
    <t>ค่าบริการ กฟภ 10%</t>
  </si>
  <si>
    <t xml:space="preserve">ราคา
ค่าไฟฟ้าต่อยูนิต
</t>
  </si>
  <si>
    <t>ค่าบริการ กฟภ.</t>
  </si>
  <si>
    <t>กำลังการผลิต</t>
  </si>
  <si>
    <t>ช่วงเวลา
หยุดเดินเครื่อง</t>
  </si>
  <si>
    <t>จำนวนวันหยุดเดินเครื่องเพื่อทำความสะอาด</t>
  </si>
  <si>
    <t>VAT</t>
  </si>
  <si>
    <t>ค่าบริหารจัดการ</t>
  </si>
  <si>
    <t xml:space="preserve">ค่าบริหาร
และค่าบำรุงรักษา 20%
</t>
  </si>
  <si>
    <t>ร้อยละ</t>
  </si>
  <si>
    <t>6.5 ปี</t>
  </si>
  <si>
    <t>NPV ก่อนหักค่าใช้จ่าย</t>
  </si>
  <si>
    <t>NPV หลังหักค่าใช้จ่าย</t>
  </si>
  <si>
    <t>ราคาค่าไฟฟ้าต่อยูนิต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</si>
</sst>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  <numFmt numFmtId="167" formatCode="0.0000"/>
    <numFmt numFmtId="168" formatCode="0.000"/>
    <numFmt numFmtId="169" formatCode="#,##0.000"/>
    <numFmt numFmtId="170" formatCode="0.00000"/>
    <numFmt numFmtId="171" formatCode="_-* #,##0.0000_-;\-* #,##0.0000_-;_-* &quot;-&quot;??_-;_-@_-"/>
    <numFmt numFmtId="172" formatCode="0.0000%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TH SarabunPSK"/>
      <family val="2"/>
    </font>
    <font>
      <b/>
      <sz val="20"/>
      <color theme="0"/>
      <name val="TH SarabunPSK"/>
      <family val="2"/>
    </font>
    <font>
      <b/>
      <sz val="16"/>
      <color theme="0"/>
      <name val="TH SarabunPSK"/>
      <family val="2"/>
    </font>
    <font>
      <b/>
      <sz val="14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4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64" fontId="5" fillId="4" borderId="1" xfId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43" fontId="2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166" fontId="2" fillId="2" borderId="1" xfId="1" applyNumberFormat="1" applyFont="1" applyFill="1" applyBorder="1" applyAlignment="1">
      <alignment horizontal="right" vertical="center"/>
    </xf>
    <xf numFmtId="165" fontId="2" fillId="2" borderId="1" xfId="1" applyNumberFormat="1" applyFont="1" applyFill="1" applyBorder="1" applyAlignment="1">
      <alignment horizontal="right" vertical="center"/>
    </xf>
    <xf numFmtId="164" fontId="2" fillId="2" borderId="1" xfId="1" applyFont="1" applyFill="1" applyBorder="1" applyAlignment="1">
      <alignment horizontal="right" vertical="center"/>
    </xf>
    <xf numFmtId="164" fontId="2" fillId="5" borderId="1" xfId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5" fillId="0" borderId="0" xfId="1" applyFont="1" applyAlignment="1">
      <alignment vertical="center"/>
    </xf>
    <xf numFmtId="10" fontId="2" fillId="2" borderId="1" xfId="2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166" fontId="2" fillId="2" borderId="1" xfId="1" applyNumberFormat="1" applyFont="1" applyFill="1" applyBorder="1" applyAlignment="1">
      <alignment vertical="center" wrapText="1"/>
    </xf>
    <xf numFmtId="168" fontId="2" fillId="2" borderId="1" xfId="0" applyNumberFormat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 wrapText="1"/>
    </xf>
    <xf numFmtId="169" fontId="2" fillId="2" borderId="1" xfId="1" applyNumberFormat="1" applyFont="1" applyFill="1" applyBorder="1" applyAlignment="1">
      <alignment horizontal="center" vertical="center" wrapText="1"/>
    </xf>
    <xf numFmtId="4" fontId="2" fillId="5" borderId="1" xfId="1" applyNumberFormat="1" applyFont="1" applyFill="1" applyBorder="1" applyAlignment="1">
      <alignment horizontal="center" vertical="center" wrapText="1"/>
    </xf>
    <xf numFmtId="4" fontId="5" fillId="2" borderId="0" xfId="1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164" fontId="5" fillId="0" borderId="0" xfId="1" applyFont="1" applyFill="1" applyBorder="1" applyAlignment="1">
      <alignment vertical="center"/>
    </xf>
    <xf numFmtId="165" fontId="5" fillId="0" borderId="0" xfId="1" applyNumberFormat="1" applyFont="1" applyAlignment="1">
      <alignment vertical="center"/>
    </xf>
    <xf numFmtId="2" fontId="6" fillId="4" borderId="1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165" fontId="5" fillId="0" borderId="0" xfId="1" applyNumberFormat="1" applyFont="1" applyFill="1" applyBorder="1" applyAlignment="1">
      <alignment vertical="center"/>
    </xf>
    <xf numFmtId="165" fontId="2" fillId="0" borderId="0" xfId="1" applyNumberFormat="1" applyFont="1" applyAlignment="1">
      <alignment vertical="center"/>
    </xf>
    <xf numFmtId="10" fontId="5" fillId="4" borderId="1" xfId="1" applyNumberFormat="1" applyFont="1" applyFill="1" applyBorder="1" applyAlignment="1">
      <alignment vertical="center"/>
    </xf>
    <xf numFmtId="10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68" fontId="2" fillId="0" borderId="0" xfId="0" applyNumberFormat="1" applyFont="1" applyAlignment="1">
      <alignment vertical="center"/>
    </xf>
    <xf numFmtId="0" fontId="7" fillId="4" borderId="1" xfId="0" applyFont="1" applyFill="1" applyBorder="1" applyAlignment="1">
      <alignment vertical="center"/>
    </xf>
    <xf numFmtId="170" fontId="2" fillId="0" borderId="0" xfId="0" applyNumberFormat="1" applyFont="1" applyAlignment="1">
      <alignment vertical="center"/>
    </xf>
    <xf numFmtId="0" fontId="5" fillId="4" borderId="1" xfId="0" applyFont="1" applyFill="1" applyBorder="1" applyAlignment="1">
      <alignment vertical="center"/>
    </xf>
    <xf numFmtId="2" fontId="5" fillId="4" borderId="1" xfId="0" applyNumberFormat="1" applyFont="1" applyFill="1" applyBorder="1" applyAlignment="1">
      <alignment vertical="center"/>
    </xf>
    <xf numFmtId="0" fontId="8" fillId="0" borderId="0" xfId="0" applyFont="1" applyAlignment="1">
      <alignment vertical="center" wrapText="1"/>
    </xf>
    <xf numFmtId="171" fontId="5" fillId="4" borderId="1" xfId="0" applyNumberFormat="1" applyFont="1" applyFill="1" applyBorder="1" applyAlignment="1">
      <alignment vertical="center"/>
    </xf>
    <xf numFmtId="167" fontId="5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vertical="center"/>
    </xf>
    <xf numFmtId="4" fontId="2" fillId="2" borderId="0" xfId="1" applyNumberFormat="1" applyFont="1" applyFill="1" applyBorder="1" applyAlignment="1">
      <alignment horizontal="center" vertical="center" wrapText="1"/>
    </xf>
    <xf numFmtId="9" fontId="5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right" vertical="center" wrapText="1"/>
    </xf>
    <xf numFmtId="165" fontId="2" fillId="2" borderId="1" xfId="0" applyNumberFormat="1" applyFont="1" applyFill="1" applyBorder="1" applyAlignment="1">
      <alignment vertical="center"/>
    </xf>
    <xf numFmtId="167" fontId="2" fillId="2" borderId="1" xfId="0" applyNumberFormat="1" applyFont="1" applyFill="1" applyBorder="1" applyAlignment="1">
      <alignment horizontal="left" vertical="center"/>
    </xf>
    <xf numFmtId="4" fontId="9" fillId="2" borderId="1" xfId="1" applyNumberFormat="1" applyFont="1" applyFill="1" applyBorder="1" applyAlignment="1">
      <alignment horizontal="center" vertical="center" wrapText="1"/>
    </xf>
    <xf numFmtId="4" fontId="9" fillId="5" borderId="1" xfId="1" applyNumberFormat="1" applyFont="1" applyFill="1" applyBorder="1" applyAlignment="1">
      <alignment horizontal="center" vertical="center" wrapText="1"/>
    </xf>
    <xf numFmtId="4" fontId="9" fillId="2" borderId="0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0" fontId="2" fillId="2" borderId="0" xfId="0" applyNumberFormat="1" applyFont="1" applyFill="1" applyAlignment="1">
      <alignment horizontal="center" vertical="center"/>
    </xf>
    <xf numFmtId="165" fontId="2" fillId="2" borderId="0" xfId="1" applyNumberFormat="1" applyFont="1" applyFill="1" applyBorder="1" applyAlignment="1">
      <alignment horizontal="right" vertical="center" wrapText="1"/>
    </xf>
    <xf numFmtId="165" fontId="2" fillId="2" borderId="0" xfId="0" applyNumberFormat="1" applyFont="1" applyFill="1" applyAlignment="1">
      <alignment vertical="center"/>
    </xf>
    <xf numFmtId="167" fontId="2" fillId="2" borderId="0" xfId="0" applyNumberFormat="1" applyFont="1" applyFill="1" applyAlignment="1">
      <alignment horizontal="left" vertical="center"/>
    </xf>
    <xf numFmtId="4" fontId="9" fillId="5" borderId="0" xfId="1" applyNumberFormat="1" applyFont="1" applyFill="1" applyBorder="1" applyAlignment="1">
      <alignment horizontal="center" vertical="center" wrapText="1"/>
    </xf>
    <xf numFmtId="166" fontId="2" fillId="0" borderId="0" xfId="0" applyNumberFormat="1" applyFont="1" applyAlignment="1">
      <alignment horizontal="right" vertical="center"/>
    </xf>
    <xf numFmtId="165" fontId="2" fillId="0" borderId="0" xfId="1" applyNumberFormat="1" applyFont="1" applyFill="1" applyBorder="1" applyAlignment="1">
      <alignment horizontal="right" vertical="center"/>
    </xf>
    <xf numFmtId="167" fontId="2" fillId="0" borderId="0" xfId="0" applyNumberFormat="1" applyFont="1" applyAlignment="1">
      <alignment horizontal="left" vertical="center"/>
    </xf>
    <xf numFmtId="4" fontId="2" fillId="0" borderId="0" xfId="1" applyNumberFormat="1" applyFont="1" applyAlignment="1">
      <alignment horizontal="center" vertical="center" wrapText="1"/>
    </xf>
    <xf numFmtId="4" fontId="2" fillId="2" borderId="0" xfId="1" applyNumberFormat="1" applyFont="1" applyFill="1" applyAlignment="1">
      <alignment horizontal="center" vertical="center" wrapText="1"/>
    </xf>
    <xf numFmtId="167" fontId="2" fillId="0" borderId="0" xfId="0" applyNumberFormat="1" applyFont="1" applyAlignment="1">
      <alignment horizontal="center" vertical="center"/>
    </xf>
    <xf numFmtId="165" fontId="2" fillId="0" borderId="0" xfId="1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0" fontId="2" fillId="6" borderId="0" xfId="2" applyNumberFormat="1" applyFont="1" applyFill="1" applyAlignment="1">
      <alignment horizontal="right" vertical="center"/>
    </xf>
    <xf numFmtId="9" fontId="2" fillId="0" borderId="0" xfId="0" applyNumberFormat="1" applyFont="1" applyAlignment="1">
      <alignment vertical="center"/>
    </xf>
    <xf numFmtId="172" fontId="2" fillId="0" borderId="0" xfId="0" applyNumberFormat="1" applyFont="1" applyAlignment="1">
      <alignment vertical="center"/>
    </xf>
    <xf numFmtId="4" fontId="2" fillId="6" borderId="0" xfId="1" applyNumberFormat="1" applyFont="1" applyFill="1" applyAlignment="1">
      <alignment horizontal="right" vertical="center" wrapText="1"/>
    </xf>
    <xf numFmtId="4" fontId="2" fillId="7" borderId="0" xfId="1" applyNumberFormat="1" applyFont="1" applyFill="1" applyAlignment="1">
      <alignment horizontal="right" vertical="center" wrapText="1"/>
    </xf>
    <xf numFmtId="10" fontId="2" fillId="7" borderId="0" xfId="2" applyNumberFormat="1" applyFont="1" applyFill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4" xfId="1" applyNumberFormat="1" applyFont="1" applyFill="1" applyBorder="1" applyAlignment="1">
      <alignment horizontal="center" vertical="center" wrapText="1"/>
    </xf>
    <xf numFmtId="9" fontId="2" fillId="2" borderId="1" xfId="2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textRotation="255"/>
    </xf>
    <xf numFmtId="10" fontId="2" fillId="8" borderId="1" xfId="2" applyNumberFormat="1" applyFont="1" applyFill="1" applyBorder="1" applyAlignment="1">
      <alignment horizontal="center" vertical="center"/>
    </xf>
    <xf numFmtId="166" fontId="2" fillId="8" borderId="1" xfId="0" applyNumberFormat="1" applyFont="1" applyFill="1" applyBorder="1" applyAlignment="1">
      <alignment horizontal="center" vertical="center"/>
    </xf>
    <xf numFmtId="166" fontId="2" fillId="8" borderId="1" xfId="1" applyNumberFormat="1" applyFont="1" applyFill="1" applyBorder="1" applyAlignment="1">
      <alignment vertical="center" wrapText="1"/>
    </xf>
    <xf numFmtId="165" fontId="2" fillId="8" borderId="1" xfId="1" applyNumberFormat="1" applyFont="1" applyFill="1" applyBorder="1" applyAlignment="1">
      <alignment horizontal="right" vertical="center"/>
    </xf>
    <xf numFmtId="164" fontId="2" fillId="8" borderId="1" xfId="1" applyFont="1" applyFill="1" applyBorder="1" applyAlignment="1">
      <alignment horizontal="right" vertical="center"/>
    </xf>
    <xf numFmtId="166" fontId="2" fillId="8" borderId="1" xfId="1" applyNumberFormat="1" applyFont="1" applyFill="1" applyBorder="1" applyAlignment="1">
      <alignment horizontal="right" vertical="center"/>
    </xf>
    <xf numFmtId="168" fontId="2" fillId="8" borderId="1" xfId="0" applyNumberFormat="1" applyFont="1" applyFill="1" applyBorder="1" applyAlignment="1">
      <alignment horizontal="center" vertical="center"/>
    </xf>
    <xf numFmtId="9" fontId="2" fillId="8" borderId="1" xfId="2" applyFont="1" applyFill="1" applyBorder="1" applyAlignment="1">
      <alignment horizontal="center" vertical="center"/>
    </xf>
    <xf numFmtId="4" fontId="2" fillId="8" borderId="1" xfId="1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4" fontId="10" fillId="8" borderId="1" xfId="1" applyNumberFormat="1" applyFont="1" applyFill="1" applyBorder="1" applyAlignment="1">
      <alignment horizontal="center" vertical="center" wrapText="1"/>
    </xf>
    <xf numFmtId="169" fontId="10" fillId="8" borderId="1" xfId="1" applyNumberFormat="1" applyFont="1" applyFill="1" applyBorder="1" applyAlignment="1">
      <alignment horizontal="center" vertical="center" wrapText="1"/>
    </xf>
  </cellXfs>
  <cellStyles count="3">
    <cellStyle name="จุลภาค" xfId="1" builtinId="3"/>
    <cellStyle name="ปกติ" xfId="0" builtinId="0"/>
    <cellStyle name="เปอร์เซ็นต์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vert="horz"/>
          <a:lstStyle/>
          <a:p>
            <a:pPr>
              <a:defRPr lang="en-US" b="1"/>
            </a:pPr>
            <a:r>
              <a:rPr lang="en-US" b="1"/>
              <a:t>Solar Rooftop E</a:t>
            </a:r>
            <a:r>
              <a:rPr lang="en-AU" sz="1920" b="1" i="0" u="none" strike="noStrike" baseline="0"/>
              <a:t>stimated Degradation </a:t>
            </a:r>
            <a:r>
              <a:rPr lang="en-US" b="1"/>
              <a:t> </a:t>
            </a:r>
            <a:endParaRPr lang="th-TH" b="1"/>
          </a:p>
        </c:rich>
      </c:tx>
      <c:layout>
        <c:manualLayout>
          <c:xMode val="edge"/>
          <c:yMode val="edge"/>
          <c:x val="0.34629873534523581"/>
          <c:y val="5.233005830620741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0749754866632864"/>
          <c:y val="0.18335347702108423"/>
          <c:w val="0.76194690246130936"/>
          <c:h val="0.63047176315222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[1]ค่าพลังงานผลิต!$A$5:$A$25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[1]ค่าพลังงานผลิต!$C$5:$C$25</c:f>
              <c:numCache>
                <c:formatCode>General</c:formatCode>
                <c:ptCount val="21"/>
                <c:pt idx="0">
                  <c:v>2646000</c:v>
                </c:pt>
                <c:pt idx="1">
                  <c:v>2577204</c:v>
                </c:pt>
                <c:pt idx="2">
                  <c:v>2559163.5720000002</c:v>
                </c:pt>
                <c:pt idx="3">
                  <c:v>2541249.4269960001</c:v>
                </c:pt>
                <c:pt idx="4">
                  <c:v>2523460.6810070281</c:v>
                </c:pt>
                <c:pt idx="5">
                  <c:v>2505796.4562399788</c:v>
                </c:pt>
                <c:pt idx="6">
                  <c:v>2488255.8810462989</c:v>
                </c:pt>
                <c:pt idx="7">
                  <c:v>2470838.0898789749</c:v>
                </c:pt>
                <c:pt idx="8">
                  <c:v>2453542.2232498219</c:v>
                </c:pt>
                <c:pt idx="9">
                  <c:v>2436367.4276870731</c:v>
                </c:pt>
                <c:pt idx="10">
                  <c:v>2419312.8556932635</c:v>
                </c:pt>
                <c:pt idx="11">
                  <c:v>2402377.6657034107</c:v>
                </c:pt>
                <c:pt idx="12">
                  <c:v>2385561.0220434871</c:v>
                </c:pt>
                <c:pt idx="13">
                  <c:v>2368862.0948891826</c:v>
                </c:pt>
                <c:pt idx="14">
                  <c:v>2352280.0602249582</c:v>
                </c:pt>
                <c:pt idx="15">
                  <c:v>2335814.0998033835</c:v>
                </c:pt>
                <c:pt idx="16">
                  <c:v>2319463.4011047599</c:v>
                </c:pt>
                <c:pt idx="17">
                  <c:v>2303227.1572970264</c:v>
                </c:pt>
                <c:pt idx="18">
                  <c:v>2287104.5671959473</c:v>
                </c:pt>
                <c:pt idx="19">
                  <c:v>2271094.8352255756</c:v>
                </c:pt>
                <c:pt idx="20">
                  <c:v>2255197.1713789967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26-4299-B22C-2C41DA08D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431363408"/>
        <c:axId val="431361840"/>
      </c:barChart>
      <c:catAx>
        <c:axId val="43136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lang="en-US"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178280075442949"/>
              <c:y val="0.9131040309739237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lang="en-US"/>
            </a:pPr>
            <a:endParaRPr lang="en-US"/>
          </a:p>
        </c:txPr>
        <c:crossAx val="431361840"/>
        <c:crosses val="autoZero"/>
        <c:auto val="1"/>
        <c:lblAlgn val="ctr"/>
        <c:lblOffset val="100"/>
        <c:noMultiLvlLbl val="0"/>
      </c:catAx>
      <c:valAx>
        <c:axId val="431361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en-US"/>
                  <a:t>SYSTEM DC CAPACITY </a:t>
                </a:r>
                <a:r>
                  <a:rPr lang="th-TH"/>
                  <a:t>(</a:t>
                </a:r>
                <a:r>
                  <a:rPr lang="en-US"/>
                  <a:t>WP</a:t>
                </a:r>
                <a:r>
                  <a:rPr lang="th-TH"/>
                  <a:t>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0381853954057944E-2"/>
              <c:y val="0.2635975848609395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lang="en-US"/>
            </a:pPr>
            <a:endParaRPr lang="en-US"/>
          </a:p>
        </c:txPr>
        <c:crossAx val="43136340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4"/>
      </a:solidFill>
      <a:prstDash val="solid"/>
      <a:round/>
    </a:ln>
    <a:effectLst/>
  </c:spPr>
  <c:txPr>
    <a:bodyPr/>
    <a:lstStyle/>
    <a:p>
      <a:pPr>
        <a:defRPr sz="1600">
          <a:solidFill>
            <a:schemeClr val="dk1"/>
          </a:solidFill>
          <a:latin typeface="TH SarabunPSK" pitchFamily="34" charset="-34"/>
          <a:ea typeface="+mn-ea"/>
          <a:cs typeface="TH SarabunPSK" pitchFamily="34" charset="-34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312490</xdr:colOff>
      <xdr:row>42</xdr:row>
      <xdr:rowOff>127000</xdr:rowOff>
    </xdr:from>
    <xdr:to>
      <xdr:col>13</xdr:col>
      <xdr:colOff>0</xdr:colOff>
      <xdr:row>58</xdr:row>
      <xdr:rowOff>241831</xdr:rowOff>
    </xdr:to>
    <xdr:graphicFrame macro="">
      <xdr:nvGraphicFramePr>
        <xdr:cNvPr id="2" name="แผนภูมิ 3">
          <a:extLst>
            <a:ext uri="{FF2B5EF4-FFF2-40B4-BE49-F238E27FC236}">
              <a16:creationId xmlns:a16="http://schemas.microsoft.com/office/drawing/2014/main" id="{ABD826DC-8B3C-469D-916A-60DE1496BC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saki\Solar\SWU\&#3588;&#3635;&#3609;&#3623;&#3603;%20&#3617;&#3624;&#3623;.%20PE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m"/>
      <sheetName val="PL"/>
      <sheetName val="เงินกู้"/>
      <sheetName val="ค่าพลังงานผลิต"/>
      <sheetName val="ตารางค่าจัดการพลังงาน"/>
      <sheetName val="การใช้ไฟย้อนหลัง"/>
      <sheetName val="ตารางผู้ลงทุน"/>
      <sheetName val="สรุปรายเดือน"/>
      <sheetName val="ขอบเขต"/>
      <sheetName val="ประมาณการค่าใช้จ่าย"/>
      <sheetName val="ประเภทค่าไฟ"/>
    </sheetNames>
    <sheetDataSet>
      <sheetData sheetId="0" refreshError="1">
        <row r="22">
          <cell r="C22">
            <v>10</v>
          </cell>
        </row>
      </sheetData>
      <sheetData sheetId="1" refreshError="1"/>
      <sheetData sheetId="2" refreshError="1"/>
      <sheetData sheetId="3" refreshError="1">
        <row r="5">
          <cell r="A5">
            <v>0</v>
          </cell>
          <cell r="C5">
            <v>2646000</v>
          </cell>
        </row>
        <row r="6">
          <cell r="A6">
            <v>1</v>
          </cell>
          <cell r="C6">
            <v>2577204</v>
          </cell>
        </row>
        <row r="7">
          <cell r="A7">
            <v>2</v>
          </cell>
          <cell r="C7">
            <v>2559163.5720000002</v>
          </cell>
        </row>
        <row r="8">
          <cell r="A8">
            <v>3</v>
          </cell>
          <cell r="C8">
            <v>2541249.4269960001</v>
          </cell>
        </row>
        <row r="9">
          <cell r="A9">
            <v>4</v>
          </cell>
          <cell r="C9">
            <v>2523460.6810070281</v>
          </cell>
        </row>
        <row r="10">
          <cell r="A10">
            <v>5</v>
          </cell>
          <cell r="C10">
            <v>2505796.4562399788</v>
          </cell>
        </row>
        <row r="11">
          <cell r="A11">
            <v>6</v>
          </cell>
          <cell r="C11">
            <v>2488255.8810462989</v>
          </cell>
        </row>
        <row r="12">
          <cell r="A12">
            <v>7</v>
          </cell>
          <cell r="C12">
            <v>2470838.0898789749</v>
          </cell>
        </row>
        <row r="13">
          <cell r="A13">
            <v>8</v>
          </cell>
          <cell r="C13">
            <v>2453542.2232498219</v>
          </cell>
        </row>
        <row r="14">
          <cell r="A14">
            <v>9</v>
          </cell>
          <cell r="C14">
            <v>2436367.4276870731</v>
          </cell>
        </row>
        <row r="15">
          <cell r="A15">
            <v>10</v>
          </cell>
          <cell r="C15">
            <v>2419312.8556932635</v>
          </cell>
        </row>
        <row r="16">
          <cell r="A16">
            <v>11</v>
          </cell>
          <cell r="C16">
            <v>2402377.6657034107</v>
          </cell>
        </row>
        <row r="17">
          <cell r="A17">
            <v>12</v>
          </cell>
          <cell r="C17">
            <v>2385561.0220434871</v>
          </cell>
        </row>
        <row r="18">
          <cell r="A18">
            <v>13</v>
          </cell>
          <cell r="C18">
            <v>2368862.0948891826</v>
          </cell>
        </row>
        <row r="19">
          <cell r="A19">
            <v>14</v>
          </cell>
          <cell r="C19">
            <v>2352280.0602249582</v>
          </cell>
        </row>
        <row r="20">
          <cell r="A20">
            <v>15</v>
          </cell>
          <cell r="C20">
            <v>2335814.0998033835</v>
          </cell>
        </row>
        <row r="21">
          <cell r="A21">
            <v>16</v>
          </cell>
          <cell r="C21">
            <v>2319463.4011047599</v>
          </cell>
        </row>
        <row r="22">
          <cell r="A22">
            <v>17</v>
          </cell>
          <cell r="C22">
            <v>2303227.1572970264</v>
          </cell>
        </row>
        <row r="23">
          <cell r="A23">
            <v>18</v>
          </cell>
          <cell r="C23">
            <v>2287104.5671959473</v>
          </cell>
        </row>
        <row r="24">
          <cell r="A24">
            <v>19</v>
          </cell>
          <cell r="C24">
            <v>2271094.8352255756</v>
          </cell>
        </row>
        <row r="25">
          <cell r="A25">
            <v>20</v>
          </cell>
          <cell r="C25">
            <v>2255197.1713789967</v>
          </cell>
        </row>
      </sheetData>
      <sheetData sheetId="4" refreshError="1"/>
      <sheetData sheetId="5" refreshError="1">
        <row r="21">
          <cell r="R21">
            <v>2104515.7241666666</v>
          </cell>
        </row>
        <row r="23">
          <cell r="F23">
            <v>1.6119915137772276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81225-5225-4F52-8EA9-DF848FBFCB2A}">
  <dimension ref="A1:Y50"/>
  <sheetViews>
    <sheetView tabSelected="1" view="pageBreakPreview" topLeftCell="A26" zoomScaleNormal="55" zoomScaleSheetLayoutView="100" workbookViewId="0">
      <selection activeCell="D27" sqref="D27"/>
    </sheetView>
  </sheetViews>
  <sheetFormatPr defaultColWidth="10.28515625" defaultRowHeight="24" x14ac:dyDescent="0.25"/>
  <cols>
    <col min="1" max="1" width="7.140625" style="3" customWidth="1"/>
    <col min="2" max="2" width="12.5703125" style="3" customWidth="1"/>
    <col min="3" max="3" width="15.7109375" style="3" customWidth="1"/>
    <col min="4" max="4" width="16.7109375" style="3" customWidth="1"/>
    <col min="5" max="7" width="14.28515625" style="3" customWidth="1"/>
    <col min="8" max="8" width="15.42578125" style="3" customWidth="1"/>
    <col min="9" max="9" width="8.5703125" style="3" customWidth="1"/>
    <col min="10" max="10" width="19.7109375" style="42" customWidth="1"/>
    <col min="11" max="11" width="17.7109375" style="42" bestFit="1" customWidth="1"/>
    <col min="12" max="12" width="16.42578125" style="42" customWidth="1"/>
    <col min="13" max="13" width="19" style="3" customWidth="1"/>
    <col min="14" max="14" width="17.7109375" style="3" bestFit="1" customWidth="1"/>
    <col min="15" max="15" width="18.42578125" style="1" customWidth="1"/>
    <col min="16" max="16" width="20.28515625" style="3" customWidth="1"/>
    <col min="17" max="17" width="17.7109375" style="3" customWidth="1"/>
    <col min="18" max="18" width="14.28515625" style="3" customWidth="1"/>
    <col min="19" max="19" width="26.42578125" style="3" customWidth="1"/>
    <col min="20" max="20" width="8.28515625" style="3" bestFit="1" customWidth="1"/>
    <col min="21" max="21" width="11.42578125" style="3" customWidth="1"/>
    <col min="22" max="23" width="8.28515625" style="3" customWidth="1"/>
    <col min="24" max="24" width="14.42578125" style="3" customWidth="1"/>
    <col min="25" max="26" width="10.140625" style="3" customWidth="1"/>
    <col min="27" max="27" width="12.5703125" style="3" customWidth="1"/>
    <col min="28" max="33" width="10.140625" style="3" customWidth="1"/>
    <col min="34" max="16384" width="10.28515625" style="3"/>
  </cols>
  <sheetData>
    <row r="1" spans="1:25" x14ac:dyDescent="0.25">
      <c r="A1" s="1"/>
      <c r="B1" s="1"/>
      <c r="C1" s="1"/>
      <c r="D1" s="1"/>
      <c r="E1" s="1"/>
      <c r="F1" s="1"/>
      <c r="G1" s="1"/>
      <c r="H1" s="1"/>
      <c r="I1" s="1" t="s">
        <v>0</v>
      </c>
      <c r="J1" s="2"/>
      <c r="K1" s="2"/>
      <c r="L1" s="2"/>
      <c r="M1" s="1"/>
      <c r="N1" s="1"/>
    </row>
    <row r="2" spans="1:25" ht="30" x14ac:dyDescent="0.25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4"/>
      <c r="P2" s="5"/>
      <c r="Q2" s="5"/>
      <c r="R2" s="5"/>
    </row>
    <row r="3" spans="1:25" ht="30" customHeight="1" x14ac:dyDescent="0.25">
      <c r="A3" s="85" t="s">
        <v>2</v>
      </c>
      <c r="B3" s="86"/>
      <c r="C3" s="86"/>
      <c r="D3" s="86"/>
      <c r="E3" s="86"/>
      <c r="F3" s="86"/>
      <c r="G3" s="87"/>
      <c r="H3" s="85" t="s">
        <v>3</v>
      </c>
      <c r="I3" s="86"/>
      <c r="J3" s="87"/>
      <c r="K3" s="94" t="s">
        <v>10</v>
      </c>
      <c r="L3" s="85" t="s">
        <v>37</v>
      </c>
      <c r="M3" s="87"/>
      <c r="N3" s="94" t="s">
        <v>11</v>
      </c>
      <c r="O3" s="4"/>
      <c r="P3" s="5"/>
      <c r="Q3" s="5"/>
      <c r="R3" s="5"/>
    </row>
    <row r="4" spans="1:25" ht="96" x14ac:dyDescent="0.25">
      <c r="A4" s="88" t="s">
        <v>4</v>
      </c>
      <c r="B4" s="90" t="s">
        <v>5</v>
      </c>
      <c r="C4" s="90" t="s">
        <v>6</v>
      </c>
      <c r="D4" s="7" t="s">
        <v>7</v>
      </c>
      <c r="E4" s="90" t="s">
        <v>8</v>
      </c>
      <c r="F4" s="90"/>
      <c r="G4" s="90"/>
      <c r="H4" s="6" t="s">
        <v>31</v>
      </c>
      <c r="I4" s="6" t="s">
        <v>36</v>
      </c>
      <c r="J4" s="6" t="s">
        <v>9</v>
      </c>
      <c r="K4" s="95"/>
      <c r="L4" s="8" t="s">
        <v>30</v>
      </c>
      <c r="M4" s="6" t="s">
        <v>38</v>
      </c>
      <c r="N4" s="95"/>
      <c r="O4" s="4"/>
    </row>
    <row r="5" spans="1:25" ht="48" x14ac:dyDescent="0.25">
      <c r="A5" s="89"/>
      <c r="B5" s="90"/>
      <c r="C5" s="90"/>
      <c r="D5" s="6"/>
      <c r="E5" s="9" t="s">
        <v>33</v>
      </c>
      <c r="F5" s="9" t="s">
        <v>34</v>
      </c>
      <c r="G5" s="9" t="s">
        <v>12</v>
      </c>
      <c r="H5" s="6" t="s">
        <v>13</v>
      </c>
      <c r="I5" s="6" t="s">
        <v>39</v>
      </c>
      <c r="J5" s="6" t="s">
        <v>14</v>
      </c>
      <c r="K5" s="6" t="s">
        <v>14</v>
      </c>
      <c r="L5" s="6" t="s">
        <v>14</v>
      </c>
      <c r="M5" s="6" t="s">
        <v>14</v>
      </c>
      <c r="N5" s="6" t="s">
        <v>14</v>
      </c>
      <c r="O5" s="82" t="s">
        <v>15</v>
      </c>
      <c r="P5" s="83"/>
      <c r="Q5" s="10">
        <v>5000000</v>
      </c>
      <c r="R5" s="11" t="s">
        <v>16</v>
      </c>
      <c r="S5" s="12">
        <f>Q5*4/1000</f>
        <v>20000</v>
      </c>
    </row>
    <row r="6" spans="1:25" ht="40.5" customHeight="1" x14ac:dyDescent="0.25">
      <c r="A6" s="13">
        <v>0</v>
      </c>
      <c r="B6" s="14"/>
      <c r="C6" s="15">
        <f>Q5</f>
        <v>5000000</v>
      </c>
      <c r="D6" s="16">
        <f>Q14</f>
        <v>7300000</v>
      </c>
      <c r="E6" s="17">
        <f t="shared" ref="E6:E31" si="0">D6*$Q$19/365</f>
        <v>7100000</v>
      </c>
      <c r="F6" s="18">
        <f t="shared" ref="F6:F31" si="1">D6*$Q$20*$Q$21/365</f>
        <v>200000</v>
      </c>
      <c r="G6" s="16">
        <f>E6-F6</f>
        <v>6900000</v>
      </c>
      <c r="H6" s="26"/>
      <c r="I6" s="26"/>
      <c r="J6" s="27"/>
      <c r="K6" s="19">
        <f>-125000000</f>
        <v>-125000000</v>
      </c>
      <c r="L6" s="14"/>
      <c r="M6" s="14"/>
      <c r="N6" s="19">
        <f>-125000000</f>
        <v>-125000000</v>
      </c>
      <c r="O6" s="20"/>
      <c r="P6" s="21"/>
      <c r="Q6" s="22"/>
      <c r="R6" s="11"/>
    </row>
    <row r="7" spans="1:25" ht="22.15" customHeight="1" x14ac:dyDescent="0.25">
      <c r="A7" s="96">
        <v>1</v>
      </c>
      <c r="B7" s="97">
        <v>2.5999999999999999E-2</v>
      </c>
      <c r="C7" s="98">
        <f>C6*(1-B7)</f>
        <v>4870000</v>
      </c>
      <c r="D7" s="99">
        <f>D6*(1-B7)</f>
        <v>7110200</v>
      </c>
      <c r="E7" s="100">
        <f t="shared" si="0"/>
        <v>6915400</v>
      </c>
      <c r="F7" s="101">
        <f t="shared" si="1"/>
        <v>194800</v>
      </c>
      <c r="G7" s="102">
        <f t="shared" ref="G7:G36" si="2">E7-F7</f>
        <v>6720600</v>
      </c>
      <c r="H7" s="103">
        <v>4.12</v>
      </c>
      <c r="I7" s="104">
        <v>7.0000000000000007E-2</v>
      </c>
      <c r="J7" s="105">
        <f>(G6*H7)+(G6*I7)</f>
        <v>28911000</v>
      </c>
      <c r="K7" s="105">
        <f>(E7*H7)</f>
        <v>28491448</v>
      </c>
      <c r="L7" s="107">
        <f>K7*0.1</f>
        <v>2849144.8000000003</v>
      </c>
      <c r="M7" s="108">
        <f>K7*20/100</f>
        <v>5698289.5999999996</v>
      </c>
      <c r="N7" s="105">
        <f>K7-L7-M7</f>
        <v>19944013.600000001</v>
      </c>
      <c r="O7" s="82" t="s">
        <v>17</v>
      </c>
      <c r="P7" s="83"/>
      <c r="Q7" s="10">
        <f>S7</f>
        <v>7300000</v>
      </c>
      <c r="R7" s="11" t="s">
        <v>18</v>
      </c>
      <c r="S7" s="12">
        <f>S5*365</f>
        <v>7300000</v>
      </c>
    </row>
    <row r="8" spans="1:25" ht="25.5" x14ac:dyDescent="0.25">
      <c r="A8" s="96">
        <v>2</v>
      </c>
      <c r="B8" s="97">
        <v>7.0000000000000001E-3</v>
      </c>
      <c r="C8" s="98">
        <f t="shared" ref="C8:C36" si="3">C7*(1-B8)</f>
        <v>4835910</v>
      </c>
      <c r="D8" s="99">
        <f>D7*(1-B8)</f>
        <v>7060428.5999999996</v>
      </c>
      <c r="E8" s="100">
        <f t="shared" si="0"/>
        <v>6866992.2000000002</v>
      </c>
      <c r="F8" s="101">
        <f t="shared" si="1"/>
        <v>193436.4</v>
      </c>
      <c r="G8" s="102">
        <f t="shared" si="2"/>
        <v>6673555.7999999998</v>
      </c>
      <c r="H8" s="103">
        <v>4.12</v>
      </c>
      <c r="I8" s="104">
        <v>7.0000000000000007E-2</v>
      </c>
      <c r="J8" s="105">
        <f t="shared" ref="J8:J36" si="4">(G7*H8)+(G7*I8)</f>
        <v>28159314</v>
      </c>
      <c r="K8" s="105">
        <f t="shared" ref="K8:K36" si="5">(E8*H8)</f>
        <v>28292007.864</v>
      </c>
      <c r="L8" s="107">
        <f t="shared" ref="L8:L36" si="6">K8*0.1</f>
        <v>2829200.7864000001</v>
      </c>
      <c r="M8" s="108">
        <f t="shared" ref="M8:M36" si="7">K8*20/100</f>
        <v>5658401.5727999993</v>
      </c>
      <c r="N8" s="105">
        <f t="shared" ref="N8:N36" si="8">K8-L8-M8</f>
        <v>19804405.504799999</v>
      </c>
      <c r="O8" s="30"/>
      <c r="P8" s="21"/>
      <c r="Q8" s="21"/>
      <c r="R8" s="11"/>
    </row>
    <row r="9" spans="1:25" ht="25.5" x14ac:dyDescent="0.25">
      <c r="A9" s="96">
        <v>3</v>
      </c>
      <c r="B9" s="97">
        <v>7.0000000000000001E-3</v>
      </c>
      <c r="C9" s="98">
        <f t="shared" si="3"/>
        <v>4802058.63</v>
      </c>
      <c r="D9" s="99">
        <f t="shared" ref="D9:D36" si="9">D8*(1-B9)</f>
        <v>7011005.5998</v>
      </c>
      <c r="E9" s="100">
        <f t="shared" si="0"/>
        <v>6818923.2545999996</v>
      </c>
      <c r="F9" s="101">
        <f t="shared" si="1"/>
        <v>192082.34519999998</v>
      </c>
      <c r="G9" s="102">
        <f t="shared" si="2"/>
        <v>6626840.9093999993</v>
      </c>
      <c r="H9" s="103">
        <v>4.12</v>
      </c>
      <c r="I9" s="104">
        <v>7.0000000000000007E-2</v>
      </c>
      <c r="J9" s="105">
        <f t="shared" si="4"/>
        <v>27962198.802000001</v>
      </c>
      <c r="K9" s="105">
        <f t="shared" si="5"/>
        <v>28093963.808952</v>
      </c>
      <c r="L9" s="107">
        <f t="shared" si="6"/>
        <v>2809396.3808952002</v>
      </c>
      <c r="M9" s="108">
        <f t="shared" si="7"/>
        <v>5618792.7617903994</v>
      </c>
      <c r="N9" s="105">
        <f t="shared" si="8"/>
        <v>19665774.6662664</v>
      </c>
      <c r="O9" s="31"/>
      <c r="P9" s="32"/>
      <c r="Q9" s="33"/>
      <c r="R9" s="11"/>
    </row>
    <row r="10" spans="1:25" ht="25.5" x14ac:dyDescent="0.25">
      <c r="A10" s="96">
        <v>4</v>
      </c>
      <c r="B10" s="97">
        <v>7.0000000000000001E-3</v>
      </c>
      <c r="C10" s="98">
        <f t="shared" si="3"/>
        <v>4768444.2195899999</v>
      </c>
      <c r="D10" s="99">
        <f t="shared" si="9"/>
        <v>6961928.5606014002</v>
      </c>
      <c r="E10" s="100">
        <f t="shared" si="0"/>
        <v>6771190.7918177992</v>
      </c>
      <c r="F10" s="101">
        <f t="shared" si="1"/>
        <v>190737.76878359998</v>
      </c>
      <c r="G10" s="102">
        <f t="shared" si="2"/>
        <v>6580453.0230341991</v>
      </c>
      <c r="H10" s="103">
        <v>4.12</v>
      </c>
      <c r="I10" s="104">
        <v>7.0000000000000007E-2</v>
      </c>
      <c r="J10" s="105">
        <f t="shared" si="4"/>
        <v>27766463.410385996</v>
      </c>
      <c r="K10" s="105">
        <f t="shared" si="5"/>
        <v>27897306.062289335</v>
      </c>
      <c r="L10" s="107">
        <f t="shared" si="6"/>
        <v>2789730.6062289337</v>
      </c>
      <c r="M10" s="108">
        <f t="shared" si="7"/>
        <v>5579461.2124578664</v>
      </c>
      <c r="N10" s="105">
        <f t="shared" si="8"/>
        <v>19528114.243602537</v>
      </c>
      <c r="O10" s="30"/>
      <c r="P10" s="22"/>
      <c r="Q10" s="34"/>
      <c r="R10" s="11"/>
    </row>
    <row r="11" spans="1:25" ht="22.15" customHeight="1" x14ac:dyDescent="0.25">
      <c r="A11" s="96">
        <v>5</v>
      </c>
      <c r="B11" s="97">
        <v>7.0000000000000001E-3</v>
      </c>
      <c r="C11" s="98">
        <f t="shared" si="3"/>
        <v>4735065.1100528697</v>
      </c>
      <c r="D11" s="99">
        <f t="shared" si="9"/>
        <v>6913195.0606771903</v>
      </c>
      <c r="E11" s="100">
        <f t="shared" si="0"/>
        <v>6723792.4562750747</v>
      </c>
      <c r="F11" s="101">
        <f t="shared" si="1"/>
        <v>189402.60440211481</v>
      </c>
      <c r="G11" s="102">
        <f t="shared" si="2"/>
        <v>6534389.8518729601</v>
      </c>
      <c r="H11" s="103">
        <v>4.12</v>
      </c>
      <c r="I11" s="104">
        <v>7.0000000000000007E-2</v>
      </c>
      <c r="J11" s="105">
        <f t="shared" si="4"/>
        <v>27572098.166513294</v>
      </c>
      <c r="K11" s="105">
        <f t="shared" si="5"/>
        <v>27702024.919853307</v>
      </c>
      <c r="L11" s="107">
        <f t="shared" si="6"/>
        <v>2770202.4919853308</v>
      </c>
      <c r="M11" s="108">
        <f t="shared" si="7"/>
        <v>5540404.9839706607</v>
      </c>
      <c r="N11" s="105">
        <f t="shared" si="8"/>
        <v>19391417.443897314</v>
      </c>
      <c r="O11" s="82" t="s">
        <v>35</v>
      </c>
      <c r="P11" s="83"/>
      <c r="Q11" s="10">
        <f>[1]asm!C22</f>
        <v>10</v>
      </c>
      <c r="R11" s="11" t="s">
        <v>20</v>
      </c>
    </row>
    <row r="12" spans="1:25" ht="25.5" x14ac:dyDescent="0.25">
      <c r="A12" s="96">
        <v>6</v>
      </c>
      <c r="B12" s="97">
        <v>7.0000000000000001E-3</v>
      </c>
      <c r="C12" s="98">
        <f t="shared" si="3"/>
        <v>4701919.6542824991</v>
      </c>
      <c r="D12" s="99">
        <f t="shared" si="9"/>
        <v>6864802.6952524502</v>
      </c>
      <c r="E12" s="100">
        <f t="shared" si="0"/>
        <v>6676725.9090811508</v>
      </c>
      <c r="F12" s="101">
        <f t="shared" si="1"/>
        <v>188076.78617129999</v>
      </c>
      <c r="G12" s="102">
        <f t="shared" si="2"/>
        <v>6488649.1229098504</v>
      </c>
      <c r="H12" s="103">
        <v>4.12</v>
      </c>
      <c r="I12" s="104">
        <v>7.0000000000000007E-2</v>
      </c>
      <c r="J12" s="105">
        <f t="shared" si="4"/>
        <v>27379093.479347702</v>
      </c>
      <c r="K12" s="105">
        <f t="shared" si="5"/>
        <v>27508110.745414343</v>
      </c>
      <c r="L12" s="107">
        <f t="shared" si="6"/>
        <v>2750811.0745414346</v>
      </c>
      <c r="M12" s="108">
        <f t="shared" si="7"/>
        <v>5501622.1490828684</v>
      </c>
      <c r="N12" s="105">
        <f t="shared" si="8"/>
        <v>19255677.521790039</v>
      </c>
      <c r="O12" s="91" t="s">
        <v>21</v>
      </c>
      <c r="P12" s="92"/>
      <c r="Q12" s="35">
        <f>Q11*10/365</f>
        <v>0.27397260273972601</v>
      </c>
      <c r="R12" s="11"/>
    </row>
    <row r="13" spans="1:25" x14ac:dyDescent="0.25">
      <c r="A13" s="106">
        <v>7</v>
      </c>
      <c r="B13" s="97">
        <v>7.0000000000000001E-3</v>
      </c>
      <c r="C13" s="98">
        <f t="shared" si="3"/>
        <v>4669006.2167025218</v>
      </c>
      <c r="D13" s="99">
        <f t="shared" si="9"/>
        <v>6816749.0763856834</v>
      </c>
      <c r="E13" s="100">
        <f t="shared" si="0"/>
        <v>6629988.8277175827</v>
      </c>
      <c r="F13" s="101">
        <f t="shared" si="1"/>
        <v>186760.24866810089</v>
      </c>
      <c r="G13" s="102">
        <f t="shared" si="2"/>
        <v>6443228.579049482</v>
      </c>
      <c r="H13" s="103">
        <v>4.12</v>
      </c>
      <c r="I13" s="104">
        <v>7.0000000000000007E-2</v>
      </c>
      <c r="J13" s="105">
        <f t="shared" si="4"/>
        <v>27187439.824992273</v>
      </c>
      <c r="K13" s="105">
        <f t="shared" si="5"/>
        <v>27315553.970196441</v>
      </c>
      <c r="L13" s="107">
        <f t="shared" si="6"/>
        <v>2731555.3970196443</v>
      </c>
      <c r="M13" s="108">
        <f t="shared" si="7"/>
        <v>5463110.7940392876</v>
      </c>
      <c r="N13" s="105">
        <f t="shared" si="8"/>
        <v>19120887.779137511</v>
      </c>
      <c r="O13" s="30"/>
      <c r="P13" s="21"/>
      <c r="Q13" s="36"/>
      <c r="R13" s="11"/>
    </row>
    <row r="14" spans="1:25" ht="21" customHeight="1" x14ac:dyDescent="0.25">
      <c r="A14" s="13">
        <v>8</v>
      </c>
      <c r="B14" s="23">
        <v>7.0000000000000001E-3</v>
      </c>
      <c r="C14" s="24">
        <f t="shared" si="3"/>
        <v>4636323.1731856037</v>
      </c>
      <c r="D14" s="25">
        <f t="shared" si="9"/>
        <v>6769031.8328509834</v>
      </c>
      <c r="E14" s="17">
        <f t="shared" si="0"/>
        <v>6583578.9059235584</v>
      </c>
      <c r="F14" s="18">
        <f t="shared" si="1"/>
        <v>185452.92692742421</v>
      </c>
      <c r="G14" s="16">
        <f t="shared" si="2"/>
        <v>6398125.9789961344</v>
      </c>
      <c r="H14" s="26">
        <v>4.12</v>
      </c>
      <c r="I14" s="93">
        <v>7.0000000000000007E-2</v>
      </c>
      <c r="J14" s="27">
        <f t="shared" si="4"/>
        <v>26997127.746217333</v>
      </c>
      <c r="K14" s="27">
        <f t="shared" si="5"/>
        <v>27124345.092405062</v>
      </c>
      <c r="L14" s="27">
        <f t="shared" si="6"/>
        <v>2712434.5092405062</v>
      </c>
      <c r="M14" s="28">
        <f t="shared" si="7"/>
        <v>5424869.0184810124</v>
      </c>
      <c r="N14" s="29">
        <f t="shared" si="8"/>
        <v>18987041.564683545</v>
      </c>
      <c r="O14" s="82" t="s">
        <v>22</v>
      </c>
      <c r="P14" s="83"/>
      <c r="Q14" s="10">
        <f>Q7</f>
        <v>7300000</v>
      </c>
      <c r="R14" s="11" t="s">
        <v>18</v>
      </c>
    </row>
    <row r="15" spans="1:25" x14ac:dyDescent="0.25">
      <c r="A15" s="13">
        <v>9</v>
      </c>
      <c r="B15" s="23">
        <v>7.0000000000000001E-3</v>
      </c>
      <c r="C15" s="24">
        <f t="shared" si="3"/>
        <v>4603868.9109733049</v>
      </c>
      <c r="D15" s="25">
        <f t="shared" si="9"/>
        <v>6721648.6100210268</v>
      </c>
      <c r="E15" s="17">
        <f t="shared" si="0"/>
        <v>6537493.8535820944</v>
      </c>
      <c r="F15" s="18">
        <f t="shared" si="1"/>
        <v>184154.75643893224</v>
      </c>
      <c r="G15" s="16">
        <f t="shared" si="2"/>
        <v>6353339.097143162</v>
      </c>
      <c r="H15" s="26">
        <v>4.12</v>
      </c>
      <c r="I15" s="93">
        <v>7.0000000000000007E-2</v>
      </c>
      <c r="J15" s="27">
        <f t="shared" si="4"/>
        <v>26808147.851993803</v>
      </c>
      <c r="K15" s="27">
        <f t="shared" si="5"/>
        <v>26934474.67675823</v>
      </c>
      <c r="L15" s="27">
        <f t="shared" si="6"/>
        <v>2693447.4676758233</v>
      </c>
      <c r="M15" s="28">
        <f t="shared" si="7"/>
        <v>5386894.9353516456</v>
      </c>
      <c r="N15" s="29">
        <f t="shared" si="8"/>
        <v>18854132.273730762</v>
      </c>
      <c r="O15" s="30"/>
      <c r="P15" s="21"/>
      <c r="Q15" s="37"/>
      <c r="R15" s="11"/>
      <c r="U15" s="38"/>
    </row>
    <row r="16" spans="1:25" ht="21" customHeight="1" x14ac:dyDescent="0.25">
      <c r="A16" s="13">
        <v>10</v>
      </c>
      <c r="B16" s="23">
        <v>7.0000000000000001E-3</v>
      </c>
      <c r="C16" s="24">
        <f t="shared" si="3"/>
        <v>4571641.8285964914</v>
      </c>
      <c r="D16" s="25">
        <f t="shared" si="9"/>
        <v>6674597.0697508799</v>
      </c>
      <c r="E16" s="17">
        <f t="shared" si="0"/>
        <v>6491731.3966070199</v>
      </c>
      <c r="F16" s="18">
        <f t="shared" si="1"/>
        <v>182865.67314385972</v>
      </c>
      <c r="G16" s="16">
        <f t="shared" si="2"/>
        <v>6308865.72346316</v>
      </c>
      <c r="H16" s="26">
        <v>4.12</v>
      </c>
      <c r="I16" s="93">
        <v>7.0000000000000007E-2</v>
      </c>
      <c r="J16" s="27">
        <f t="shared" si="4"/>
        <v>26620490.817029852</v>
      </c>
      <c r="K16" s="27">
        <f t="shared" si="5"/>
        <v>26745933.354020923</v>
      </c>
      <c r="L16" s="27">
        <f t="shared" si="6"/>
        <v>2674593.3354020924</v>
      </c>
      <c r="M16" s="28">
        <f t="shared" si="7"/>
        <v>5349186.6708041849</v>
      </c>
      <c r="N16" s="29">
        <f t="shared" si="8"/>
        <v>18722153.347814646</v>
      </c>
      <c r="O16" s="82" t="s">
        <v>23</v>
      </c>
      <c r="P16" s="83"/>
      <c r="Q16" s="39">
        <v>0.2</v>
      </c>
      <c r="R16" s="11"/>
      <c r="T16" s="40"/>
      <c r="X16" s="41"/>
      <c r="Y16" s="42"/>
    </row>
    <row r="17" spans="1:25" x14ac:dyDescent="0.25">
      <c r="A17" s="13">
        <v>11</v>
      </c>
      <c r="B17" s="23">
        <v>7.0000000000000001E-3</v>
      </c>
      <c r="C17" s="24">
        <f t="shared" si="3"/>
        <v>4539640.3357963162</v>
      </c>
      <c r="D17" s="25">
        <f t="shared" si="9"/>
        <v>6627874.8902626233</v>
      </c>
      <c r="E17" s="17">
        <f t="shared" si="0"/>
        <v>6446289.276830771</v>
      </c>
      <c r="F17" s="18">
        <f t="shared" si="1"/>
        <v>181585.61343185269</v>
      </c>
      <c r="G17" s="16">
        <f t="shared" si="2"/>
        <v>6264703.6633989187</v>
      </c>
      <c r="H17" s="26">
        <v>4.12</v>
      </c>
      <c r="I17" s="93">
        <v>7.0000000000000007E-2</v>
      </c>
      <c r="J17" s="27">
        <f t="shared" si="4"/>
        <v>26434147.381310642</v>
      </c>
      <c r="K17" s="27">
        <f t="shared" si="5"/>
        <v>26558711.820542779</v>
      </c>
      <c r="L17" s="27">
        <f t="shared" si="6"/>
        <v>2655871.182054278</v>
      </c>
      <c r="M17" s="28">
        <f t="shared" si="7"/>
        <v>5311742.364108556</v>
      </c>
      <c r="N17" s="29">
        <f t="shared" si="8"/>
        <v>18591098.274379946</v>
      </c>
      <c r="O17" s="82" t="s">
        <v>32</v>
      </c>
      <c r="P17" s="83"/>
      <c r="Q17" s="39">
        <v>0.1</v>
      </c>
      <c r="R17" s="21"/>
      <c r="U17" s="38"/>
      <c r="X17" s="38"/>
      <c r="Y17" s="43"/>
    </row>
    <row r="18" spans="1:25" x14ac:dyDescent="0.25">
      <c r="A18" s="13">
        <v>12</v>
      </c>
      <c r="B18" s="23">
        <v>7.0000000000000001E-3</v>
      </c>
      <c r="C18" s="24">
        <f t="shared" si="3"/>
        <v>4507862.8534457423</v>
      </c>
      <c r="D18" s="25">
        <f t="shared" si="9"/>
        <v>6581479.7660307847</v>
      </c>
      <c r="E18" s="17">
        <f t="shared" si="0"/>
        <v>6401165.251892955</v>
      </c>
      <c r="F18" s="18">
        <f t="shared" si="1"/>
        <v>180314.51413782971</v>
      </c>
      <c r="G18" s="16">
        <f t="shared" si="2"/>
        <v>6220850.7377551254</v>
      </c>
      <c r="H18" s="26">
        <v>4.12</v>
      </c>
      <c r="I18" s="93">
        <v>7.0000000000000007E-2</v>
      </c>
      <c r="J18" s="27">
        <f t="shared" si="4"/>
        <v>26249108.349641468</v>
      </c>
      <c r="K18" s="27">
        <f t="shared" si="5"/>
        <v>26372800.837798975</v>
      </c>
      <c r="L18" s="27">
        <f t="shared" si="6"/>
        <v>2637280.0837798975</v>
      </c>
      <c r="M18" s="28">
        <f t="shared" si="7"/>
        <v>5274560.1675597951</v>
      </c>
      <c r="N18" s="29">
        <f t="shared" si="8"/>
        <v>18460960.586459283</v>
      </c>
      <c r="O18" s="30"/>
      <c r="P18" s="21"/>
      <c r="Q18" s="21"/>
      <c r="R18" s="21"/>
    </row>
    <row r="19" spans="1:25" ht="21" customHeight="1" x14ac:dyDescent="0.25">
      <c r="A19" s="13">
        <v>13</v>
      </c>
      <c r="B19" s="23">
        <v>7.0000000000000001E-3</v>
      </c>
      <c r="C19" s="24">
        <f t="shared" si="3"/>
        <v>4476307.8134716218</v>
      </c>
      <c r="D19" s="25">
        <f t="shared" si="9"/>
        <v>6535409.4076685691</v>
      </c>
      <c r="E19" s="17">
        <f t="shared" si="0"/>
        <v>6356357.0951297041</v>
      </c>
      <c r="F19" s="18">
        <f t="shared" si="1"/>
        <v>179052.31253886491</v>
      </c>
      <c r="G19" s="16">
        <f t="shared" si="2"/>
        <v>6177304.7825908391</v>
      </c>
      <c r="H19" s="26">
        <v>4.12</v>
      </c>
      <c r="I19" s="93">
        <v>7.0000000000000007E-2</v>
      </c>
      <c r="J19" s="27">
        <f t="shared" si="4"/>
        <v>26065364.591193974</v>
      </c>
      <c r="K19" s="27">
        <f t="shared" si="5"/>
        <v>26188191.23193438</v>
      </c>
      <c r="L19" s="27">
        <f t="shared" si="6"/>
        <v>2618819.1231934382</v>
      </c>
      <c r="M19" s="28">
        <f t="shared" si="7"/>
        <v>5237638.2463868763</v>
      </c>
      <c r="N19" s="29">
        <f t="shared" si="8"/>
        <v>18331733.862354062</v>
      </c>
      <c r="O19" s="82" t="s">
        <v>24</v>
      </c>
      <c r="P19" s="83"/>
      <c r="Q19" s="44">
        <v>355</v>
      </c>
      <c r="R19" s="11" t="s">
        <v>20</v>
      </c>
      <c r="S19" s="45"/>
      <c r="U19" s="38"/>
    </row>
    <row r="20" spans="1:25" ht="21" customHeight="1" x14ac:dyDescent="0.25">
      <c r="A20" s="13">
        <v>14</v>
      </c>
      <c r="B20" s="23">
        <v>7.0000000000000001E-3</v>
      </c>
      <c r="C20" s="24">
        <f t="shared" si="3"/>
        <v>4444973.6587773208</v>
      </c>
      <c r="D20" s="25">
        <f t="shared" si="9"/>
        <v>6489661.5418148888</v>
      </c>
      <c r="E20" s="17">
        <f t="shared" si="0"/>
        <v>6311862.5954637956</v>
      </c>
      <c r="F20" s="18">
        <f t="shared" si="1"/>
        <v>177798.94635109286</v>
      </c>
      <c r="G20" s="16">
        <f t="shared" si="2"/>
        <v>6134063.6491127023</v>
      </c>
      <c r="H20" s="26">
        <v>4.12</v>
      </c>
      <c r="I20" s="93">
        <v>7.0000000000000007E-2</v>
      </c>
      <c r="J20" s="27">
        <f t="shared" si="4"/>
        <v>25882907.039055619</v>
      </c>
      <c r="K20" s="27">
        <f t="shared" si="5"/>
        <v>26004873.893310837</v>
      </c>
      <c r="L20" s="27">
        <f t="shared" si="6"/>
        <v>2600487.3893310837</v>
      </c>
      <c r="M20" s="28">
        <f t="shared" si="7"/>
        <v>5200974.7786621675</v>
      </c>
      <c r="N20" s="29">
        <f t="shared" si="8"/>
        <v>18203411.725317586</v>
      </c>
      <c r="O20" s="82" t="s">
        <v>19</v>
      </c>
      <c r="P20" s="83"/>
      <c r="Q20" s="46">
        <v>10</v>
      </c>
      <c r="R20" s="11" t="s">
        <v>20</v>
      </c>
      <c r="S20" s="45"/>
    </row>
    <row r="21" spans="1:25" ht="21" customHeight="1" x14ac:dyDescent="0.25">
      <c r="A21" s="13">
        <v>15</v>
      </c>
      <c r="B21" s="23">
        <v>7.0000000000000001E-3</v>
      </c>
      <c r="C21" s="24">
        <f t="shared" si="3"/>
        <v>4413858.8431658791</v>
      </c>
      <c r="D21" s="25">
        <f t="shared" si="9"/>
        <v>6444233.9110221844</v>
      </c>
      <c r="E21" s="17">
        <f t="shared" si="0"/>
        <v>6267679.5572955497</v>
      </c>
      <c r="F21" s="18">
        <f t="shared" si="1"/>
        <v>176554.35372663519</v>
      </c>
      <c r="G21" s="16">
        <f t="shared" si="2"/>
        <v>6091125.2035689149</v>
      </c>
      <c r="H21" s="26">
        <v>4.12</v>
      </c>
      <c r="I21" s="93">
        <v>7.0000000000000007E-2</v>
      </c>
      <c r="J21" s="27">
        <f t="shared" si="4"/>
        <v>25701726.689782221</v>
      </c>
      <c r="K21" s="27">
        <f t="shared" si="5"/>
        <v>25822839.776057664</v>
      </c>
      <c r="L21" s="27">
        <f t="shared" si="6"/>
        <v>2582283.9776057666</v>
      </c>
      <c r="M21" s="28">
        <f t="shared" si="7"/>
        <v>5164567.9552115323</v>
      </c>
      <c r="N21" s="29">
        <f t="shared" si="8"/>
        <v>18075987.843240365</v>
      </c>
      <c r="O21" s="82" t="s">
        <v>25</v>
      </c>
      <c r="P21" s="83"/>
      <c r="Q21" s="47">
        <f>(IF([1]การใช้ไฟย้อนหลัง!F23&gt;=1,1,[1]การใช้ไฟย้อนหลัง!F23))</f>
        <v>1</v>
      </c>
      <c r="R21" s="21"/>
      <c r="U21" s="38"/>
    </row>
    <row r="22" spans="1:25" x14ac:dyDescent="0.25">
      <c r="A22" s="13">
        <v>16</v>
      </c>
      <c r="B22" s="23">
        <v>7.0000000000000001E-3</v>
      </c>
      <c r="C22" s="24">
        <f t="shared" si="3"/>
        <v>4382961.8312637182</v>
      </c>
      <c r="D22" s="25">
        <f t="shared" si="9"/>
        <v>6399124.2736450294</v>
      </c>
      <c r="E22" s="17">
        <f t="shared" si="0"/>
        <v>6223805.8003944801</v>
      </c>
      <c r="F22" s="18">
        <f t="shared" si="1"/>
        <v>175318.47325054873</v>
      </c>
      <c r="G22" s="16">
        <f t="shared" si="2"/>
        <v>6048487.3271439318</v>
      </c>
      <c r="H22" s="26">
        <v>4.12</v>
      </c>
      <c r="I22" s="93">
        <v>7.0000000000000007E-2</v>
      </c>
      <c r="J22" s="27">
        <f t="shared" si="4"/>
        <v>25521814.602953754</v>
      </c>
      <c r="K22" s="27">
        <f t="shared" si="5"/>
        <v>25642079.89762526</v>
      </c>
      <c r="L22" s="27">
        <f t="shared" si="6"/>
        <v>2564207.989762526</v>
      </c>
      <c r="M22" s="28">
        <f t="shared" si="7"/>
        <v>5128415.979525052</v>
      </c>
      <c r="N22" s="29">
        <f t="shared" si="8"/>
        <v>17949455.928337682</v>
      </c>
      <c r="O22" s="30"/>
      <c r="P22" s="21"/>
      <c r="Q22" s="21"/>
      <c r="R22" s="21"/>
      <c r="U22" s="38"/>
      <c r="X22" s="48"/>
      <c r="Y22" s="48"/>
    </row>
    <row r="23" spans="1:25" x14ac:dyDescent="0.25">
      <c r="A23" s="13">
        <v>17</v>
      </c>
      <c r="B23" s="23">
        <v>7.0000000000000001E-3</v>
      </c>
      <c r="C23" s="24">
        <f t="shared" si="3"/>
        <v>4352281.0984448725</v>
      </c>
      <c r="D23" s="25">
        <f t="shared" si="9"/>
        <v>6354330.4037295142</v>
      </c>
      <c r="E23" s="17">
        <f t="shared" si="0"/>
        <v>6180239.1597917192</v>
      </c>
      <c r="F23" s="18">
        <f t="shared" si="1"/>
        <v>174091.2439377949</v>
      </c>
      <c r="G23" s="16">
        <f t="shared" si="2"/>
        <v>6006147.9158539241</v>
      </c>
      <c r="H23" s="26">
        <v>4.12</v>
      </c>
      <c r="I23" s="93">
        <v>7.0000000000000007E-2</v>
      </c>
      <c r="J23" s="27">
        <f t="shared" si="4"/>
        <v>25343161.900733072</v>
      </c>
      <c r="K23" s="27">
        <f t="shared" si="5"/>
        <v>25462585.338341884</v>
      </c>
      <c r="L23" s="27">
        <f t="shared" si="6"/>
        <v>2546258.5338341887</v>
      </c>
      <c r="M23" s="28">
        <f t="shared" si="7"/>
        <v>5092517.0676683774</v>
      </c>
      <c r="N23" s="29">
        <f t="shared" si="8"/>
        <v>17823809.736839317</v>
      </c>
      <c r="O23" s="82" t="s">
        <v>43</v>
      </c>
      <c r="P23" s="83"/>
      <c r="Q23" s="49">
        <v>4.12</v>
      </c>
      <c r="R23" s="50"/>
      <c r="S23" s="12"/>
      <c r="U23" s="51"/>
    </row>
    <row r="24" spans="1:25" x14ac:dyDescent="0.25">
      <c r="A24" s="13">
        <v>18</v>
      </c>
      <c r="B24" s="23">
        <v>7.0000000000000001E-3</v>
      </c>
      <c r="C24" s="24">
        <f t="shared" si="3"/>
        <v>4321815.1307557588</v>
      </c>
      <c r="D24" s="25">
        <f t="shared" si="9"/>
        <v>6309850.0909034079</v>
      </c>
      <c r="E24" s="17">
        <f t="shared" si="0"/>
        <v>6136977.485673178</v>
      </c>
      <c r="F24" s="18">
        <f t="shared" si="1"/>
        <v>172872.60523023037</v>
      </c>
      <c r="G24" s="16">
        <f t="shared" si="2"/>
        <v>5964104.8804429471</v>
      </c>
      <c r="H24" s="26">
        <v>4.12</v>
      </c>
      <c r="I24" s="93">
        <v>7.0000000000000007E-2</v>
      </c>
      <c r="J24" s="27">
        <f t="shared" si="4"/>
        <v>25165759.767427944</v>
      </c>
      <c r="K24" s="27">
        <f t="shared" si="5"/>
        <v>25284347.240973495</v>
      </c>
      <c r="L24" s="27">
        <f t="shared" si="6"/>
        <v>2528434.7240973497</v>
      </c>
      <c r="M24" s="28">
        <f t="shared" si="7"/>
        <v>5056869.4481946994</v>
      </c>
      <c r="N24" s="29">
        <f t="shared" si="8"/>
        <v>17699043.068681449</v>
      </c>
      <c r="O24" s="82" t="s">
        <v>0</v>
      </c>
      <c r="P24" s="83"/>
      <c r="Q24" s="49">
        <v>0</v>
      </c>
      <c r="R24" s="50"/>
      <c r="S24" s="12"/>
    </row>
    <row r="25" spans="1:25" x14ac:dyDescent="0.25">
      <c r="A25" s="13">
        <v>19</v>
      </c>
      <c r="B25" s="23">
        <v>7.0000000000000001E-3</v>
      </c>
      <c r="C25" s="24">
        <f t="shared" si="3"/>
        <v>4291562.4248404689</v>
      </c>
      <c r="D25" s="25">
        <f t="shared" si="9"/>
        <v>6265681.1402670844</v>
      </c>
      <c r="E25" s="17">
        <f t="shared" si="0"/>
        <v>6094018.6432734663</v>
      </c>
      <c r="F25" s="18">
        <f t="shared" si="1"/>
        <v>171662.49699361876</v>
      </c>
      <c r="G25" s="16">
        <f t="shared" si="2"/>
        <v>5922356.1462798472</v>
      </c>
      <c r="H25" s="26">
        <v>4.12</v>
      </c>
      <c r="I25" s="93">
        <v>7.0000000000000007E-2</v>
      </c>
      <c r="J25" s="27">
        <f t="shared" si="4"/>
        <v>24989599.449055951</v>
      </c>
      <c r="K25" s="27">
        <f t="shared" si="5"/>
        <v>25107356.810286682</v>
      </c>
      <c r="L25" s="27">
        <f t="shared" si="6"/>
        <v>2510735.6810286683</v>
      </c>
      <c r="M25" s="28">
        <f t="shared" si="7"/>
        <v>5021471.3620573366</v>
      </c>
      <c r="N25" s="29">
        <f t="shared" si="8"/>
        <v>17575149.767200679</v>
      </c>
      <c r="O25" s="52"/>
      <c r="Q25" s="53"/>
      <c r="R25" s="50"/>
      <c r="S25" s="12"/>
    </row>
    <row r="26" spans="1:25" x14ac:dyDescent="0.25">
      <c r="A26" s="13">
        <v>20</v>
      </c>
      <c r="B26" s="23">
        <v>7.0000000000000001E-3</v>
      </c>
      <c r="C26" s="24">
        <f t="shared" si="3"/>
        <v>4261521.4878665851</v>
      </c>
      <c r="D26" s="25">
        <f t="shared" si="9"/>
        <v>6221821.3722852152</v>
      </c>
      <c r="E26" s="17">
        <f t="shared" si="0"/>
        <v>6051360.5127705522</v>
      </c>
      <c r="F26" s="18">
        <f t="shared" si="1"/>
        <v>170460.85951466343</v>
      </c>
      <c r="G26" s="16">
        <f t="shared" si="2"/>
        <v>5880899.6532558892</v>
      </c>
      <c r="H26" s="26">
        <v>4.12</v>
      </c>
      <c r="I26" s="93">
        <v>7.0000000000000007E-2</v>
      </c>
      <c r="J26" s="27">
        <f t="shared" si="4"/>
        <v>24814672.252912559</v>
      </c>
      <c r="K26" s="27">
        <f t="shared" si="5"/>
        <v>24931605.312614676</v>
      </c>
      <c r="L26" s="27">
        <f t="shared" si="6"/>
        <v>2493160.5312614678</v>
      </c>
      <c r="M26" s="28">
        <f t="shared" si="7"/>
        <v>4986321.0625229357</v>
      </c>
      <c r="N26" s="29">
        <f t="shared" si="8"/>
        <v>17452123.718830273</v>
      </c>
      <c r="O26" s="52"/>
      <c r="P26" s="54"/>
      <c r="S26" s="12"/>
    </row>
    <row r="27" spans="1:25" x14ac:dyDescent="0.25">
      <c r="A27" s="13">
        <v>21</v>
      </c>
      <c r="B27" s="23">
        <v>7.0000000000000001E-3</v>
      </c>
      <c r="C27" s="24">
        <f t="shared" si="3"/>
        <v>4231690.8374515194</v>
      </c>
      <c r="D27" s="25">
        <f t="shared" si="9"/>
        <v>6178268.6226792186</v>
      </c>
      <c r="E27" s="17">
        <f t="shared" si="0"/>
        <v>6009000.9891811581</v>
      </c>
      <c r="F27" s="18">
        <f t="shared" si="1"/>
        <v>169267.63349806078</v>
      </c>
      <c r="G27" s="16">
        <f t="shared" si="2"/>
        <v>5839733.3556830976</v>
      </c>
      <c r="H27" s="26">
        <v>4.12</v>
      </c>
      <c r="I27" s="93">
        <v>7.0000000000000007E-2</v>
      </c>
      <c r="J27" s="27">
        <f t="shared" si="4"/>
        <v>24640969.547142178</v>
      </c>
      <c r="K27" s="27">
        <f t="shared" si="5"/>
        <v>24757084.075426374</v>
      </c>
      <c r="L27" s="27">
        <f t="shared" si="6"/>
        <v>2475708.4075426375</v>
      </c>
      <c r="M27" s="28">
        <f t="shared" si="7"/>
        <v>4951416.8150852742</v>
      </c>
      <c r="N27" s="29">
        <f t="shared" si="8"/>
        <v>17329958.852798462</v>
      </c>
      <c r="O27" s="52"/>
      <c r="P27" s="54"/>
      <c r="S27" s="12"/>
    </row>
    <row r="28" spans="1:25" x14ac:dyDescent="0.25">
      <c r="A28" s="13">
        <v>22</v>
      </c>
      <c r="B28" s="23">
        <v>7.0000000000000001E-3</v>
      </c>
      <c r="C28" s="24">
        <f t="shared" si="3"/>
        <v>4202069.0015893588</v>
      </c>
      <c r="D28" s="25">
        <f t="shared" si="9"/>
        <v>6135020.742320464</v>
      </c>
      <c r="E28" s="17">
        <f t="shared" si="0"/>
        <v>5966937.9822568893</v>
      </c>
      <c r="F28" s="18">
        <f t="shared" si="1"/>
        <v>168082.76006357436</v>
      </c>
      <c r="G28" s="16">
        <f t="shared" si="2"/>
        <v>5798855.2221933147</v>
      </c>
      <c r="H28" s="26">
        <v>4.12</v>
      </c>
      <c r="I28" s="93">
        <v>7.0000000000000007E-2</v>
      </c>
      <c r="J28" s="27">
        <f t="shared" si="4"/>
        <v>24468482.760312177</v>
      </c>
      <c r="K28" s="27">
        <f t="shared" si="5"/>
        <v>24583784.486898385</v>
      </c>
      <c r="L28" s="27">
        <f t="shared" si="6"/>
        <v>2458378.4486898384</v>
      </c>
      <c r="M28" s="28">
        <f t="shared" si="7"/>
        <v>4916756.8973796777</v>
      </c>
      <c r="N28" s="29">
        <f t="shared" si="8"/>
        <v>17208649.14082887</v>
      </c>
      <c r="O28" s="52"/>
      <c r="P28" s="54"/>
      <c r="S28" s="12"/>
    </row>
    <row r="29" spans="1:25" x14ac:dyDescent="0.25">
      <c r="A29" s="13">
        <v>23</v>
      </c>
      <c r="B29" s="23">
        <v>7.0000000000000001E-3</v>
      </c>
      <c r="C29" s="24">
        <f t="shared" si="3"/>
        <v>4172654.5185782332</v>
      </c>
      <c r="D29" s="25">
        <f t="shared" si="9"/>
        <v>6092075.5971242208</v>
      </c>
      <c r="E29" s="17">
        <f t="shared" si="0"/>
        <v>5925169.4163810909</v>
      </c>
      <c r="F29" s="18">
        <f t="shared" si="1"/>
        <v>166906.18074312931</v>
      </c>
      <c r="G29" s="16">
        <f t="shared" si="2"/>
        <v>5758263.2356379619</v>
      </c>
      <c r="H29" s="26">
        <v>4.12</v>
      </c>
      <c r="I29" s="93">
        <v>7.0000000000000007E-2</v>
      </c>
      <c r="J29" s="27">
        <f t="shared" si="4"/>
        <v>24297203.380989987</v>
      </c>
      <c r="K29" s="27">
        <f t="shared" si="5"/>
        <v>24411697.995490097</v>
      </c>
      <c r="L29" s="27">
        <f t="shared" si="6"/>
        <v>2441169.7995490097</v>
      </c>
      <c r="M29" s="28">
        <f t="shared" si="7"/>
        <v>4882339.5990980193</v>
      </c>
      <c r="N29" s="29">
        <f t="shared" si="8"/>
        <v>17088188.596843068</v>
      </c>
      <c r="O29" s="52"/>
      <c r="P29" s="54"/>
      <c r="S29" s="12"/>
    </row>
    <row r="30" spans="1:25" x14ac:dyDescent="0.25">
      <c r="A30" s="13">
        <v>24</v>
      </c>
      <c r="B30" s="23">
        <v>7.0000000000000001E-3</v>
      </c>
      <c r="C30" s="24">
        <f t="shared" si="3"/>
        <v>4143445.9369481853</v>
      </c>
      <c r="D30" s="25">
        <f t="shared" si="9"/>
        <v>6049431.0679443516</v>
      </c>
      <c r="E30" s="17">
        <f t="shared" si="0"/>
        <v>5883693.2304664245</v>
      </c>
      <c r="F30" s="18">
        <f t="shared" si="1"/>
        <v>165737.83747792745</v>
      </c>
      <c r="G30" s="16">
        <f t="shared" si="2"/>
        <v>5717955.3929884974</v>
      </c>
      <c r="H30" s="26">
        <v>4.12</v>
      </c>
      <c r="I30" s="93">
        <v>7.0000000000000007E-2</v>
      </c>
      <c r="J30" s="27">
        <f t="shared" si="4"/>
        <v>24127122.957323063</v>
      </c>
      <c r="K30" s="27">
        <f t="shared" si="5"/>
        <v>24240816.109521668</v>
      </c>
      <c r="L30" s="27">
        <f t="shared" si="6"/>
        <v>2424081.6109521668</v>
      </c>
      <c r="M30" s="28">
        <f t="shared" si="7"/>
        <v>4848163.2219043337</v>
      </c>
      <c r="N30" s="29">
        <f t="shared" si="8"/>
        <v>16968571.27666517</v>
      </c>
      <c r="O30" s="52"/>
      <c r="P30" s="54"/>
      <c r="S30" s="12"/>
    </row>
    <row r="31" spans="1:25" x14ac:dyDescent="0.25">
      <c r="A31" s="13">
        <v>25</v>
      </c>
      <c r="B31" s="23">
        <v>7.0000000000000001E-3</v>
      </c>
      <c r="C31" s="24">
        <f t="shared" si="3"/>
        <v>4114441.815389548</v>
      </c>
      <c r="D31" s="25">
        <f t="shared" si="9"/>
        <v>6007085.050468741</v>
      </c>
      <c r="E31" s="17">
        <f t="shared" si="0"/>
        <v>5842507.3778531589</v>
      </c>
      <c r="F31" s="18">
        <f t="shared" si="1"/>
        <v>164577.67261558195</v>
      </c>
      <c r="G31" s="16">
        <f t="shared" si="2"/>
        <v>5677929.7052375767</v>
      </c>
      <c r="H31" s="26">
        <v>4.12</v>
      </c>
      <c r="I31" s="93">
        <v>7.0000000000000007E-2</v>
      </c>
      <c r="J31" s="27">
        <f t="shared" si="4"/>
        <v>23958233.096621804</v>
      </c>
      <c r="K31" s="27">
        <f t="shared" si="5"/>
        <v>24071130.396755014</v>
      </c>
      <c r="L31" s="27">
        <f t="shared" si="6"/>
        <v>2407113.0396755016</v>
      </c>
      <c r="M31" s="28">
        <f t="shared" si="7"/>
        <v>4814226.0793510024</v>
      </c>
      <c r="N31" s="29">
        <f t="shared" si="8"/>
        <v>16849791.277728513</v>
      </c>
      <c r="O31" s="52"/>
      <c r="P31" s="54"/>
      <c r="S31" s="12"/>
    </row>
    <row r="32" spans="1:25" x14ac:dyDescent="0.25">
      <c r="A32" s="13">
        <v>26</v>
      </c>
      <c r="B32" s="23">
        <v>7.0000000000000001E-3</v>
      </c>
      <c r="C32" s="24">
        <f t="shared" si="3"/>
        <v>4085640.7226818213</v>
      </c>
      <c r="D32" s="25">
        <f t="shared" si="9"/>
        <v>5965035.4551154599</v>
      </c>
      <c r="E32" s="17">
        <f t="shared" ref="E32:E36" si="10">D32*$Q$19/365</f>
        <v>5801609.8262081873</v>
      </c>
      <c r="F32" s="18">
        <f t="shared" ref="F32:F36" si="11">D32*$Q$20*$Q$21/365</f>
        <v>163425.62890727288</v>
      </c>
      <c r="G32" s="16">
        <f t="shared" si="2"/>
        <v>5638184.1973009147</v>
      </c>
      <c r="H32" s="26">
        <v>4.12</v>
      </c>
      <c r="I32" s="93">
        <v>7.0000000000000007E-2</v>
      </c>
      <c r="J32" s="27">
        <f t="shared" si="4"/>
        <v>23790525.46494545</v>
      </c>
      <c r="K32" s="27">
        <f t="shared" si="5"/>
        <v>23902632.483977731</v>
      </c>
      <c r="L32" s="27">
        <f t="shared" si="6"/>
        <v>2390263.2483977731</v>
      </c>
      <c r="M32" s="28">
        <f t="shared" si="7"/>
        <v>4780526.4967955463</v>
      </c>
      <c r="N32" s="29">
        <f t="shared" si="8"/>
        <v>16731842.738784414</v>
      </c>
      <c r="O32" s="52"/>
      <c r="P32" s="54"/>
      <c r="S32" s="12"/>
    </row>
    <row r="33" spans="1:19" x14ac:dyDescent="0.25">
      <c r="A33" s="13">
        <v>27</v>
      </c>
      <c r="B33" s="23">
        <v>7.0000000000000001E-3</v>
      </c>
      <c r="C33" s="24">
        <f t="shared" si="3"/>
        <v>4057041.2376230485</v>
      </c>
      <c r="D33" s="25">
        <f t="shared" si="9"/>
        <v>5923280.206929652</v>
      </c>
      <c r="E33" s="17">
        <f t="shared" si="10"/>
        <v>5760998.5574247297</v>
      </c>
      <c r="F33" s="18">
        <f t="shared" si="11"/>
        <v>162281.64950492198</v>
      </c>
      <c r="G33" s="16">
        <f t="shared" si="2"/>
        <v>5598716.9079198074</v>
      </c>
      <c r="H33" s="26">
        <v>4.12</v>
      </c>
      <c r="I33" s="93">
        <v>7.0000000000000007E-2</v>
      </c>
      <c r="J33" s="27">
        <f t="shared" si="4"/>
        <v>23623991.786690835</v>
      </c>
      <c r="K33" s="27">
        <f t="shared" si="5"/>
        <v>23735314.056589887</v>
      </c>
      <c r="L33" s="27">
        <f t="shared" si="6"/>
        <v>2373531.4056589887</v>
      </c>
      <c r="M33" s="28">
        <f t="shared" si="7"/>
        <v>4747062.8113179775</v>
      </c>
      <c r="N33" s="29">
        <f t="shared" si="8"/>
        <v>16614719.83961292</v>
      </c>
      <c r="O33" s="52"/>
      <c r="P33" s="54"/>
      <c r="S33" s="12"/>
    </row>
    <row r="34" spans="1:19" x14ac:dyDescent="0.25">
      <c r="A34" s="13">
        <v>28</v>
      </c>
      <c r="B34" s="23">
        <v>7.0000000000000001E-3</v>
      </c>
      <c r="C34" s="24">
        <f t="shared" si="3"/>
        <v>4028641.9489596873</v>
      </c>
      <c r="D34" s="25">
        <f t="shared" si="9"/>
        <v>5881817.2454811446</v>
      </c>
      <c r="E34" s="17">
        <f t="shared" si="10"/>
        <v>5720671.5675227568</v>
      </c>
      <c r="F34" s="18">
        <f t="shared" si="11"/>
        <v>161145.67795838753</v>
      </c>
      <c r="G34" s="16">
        <f t="shared" si="2"/>
        <v>5559525.8895643689</v>
      </c>
      <c r="H34" s="26">
        <v>4.12</v>
      </c>
      <c r="I34" s="93">
        <v>7.0000000000000007E-2</v>
      </c>
      <c r="J34" s="27">
        <f t="shared" si="4"/>
        <v>23458623.844183993</v>
      </c>
      <c r="K34" s="27">
        <f t="shared" si="5"/>
        <v>23569166.858193759</v>
      </c>
      <c r="L34" s="27">
        <f t="shared" si="6"/>
        <v>2356916.6858193758</v>
      </c>
      <c r="M34" s="28">
        <f t="shared" si="7"/>
        <v>4713833.3716387516</v>
      </c>
      <c r="N34" s="29">
        <f t="shared" si="8"/>
        <v>16498416.80073563</v>
      </c>
      <c r="O34" s="52"/>
      <c r="P34" s="54"/>
      <c r="S34" s="12"/>
    </row>
    <row r="35" spans="1:19" x14ac:dyDescent="0.25">
      <c r="A35" s="13">
        <v>29</v>
      </c>
      <c r="B35" s="23">
        <v>7.0000000000000001E-3</v>
      </c>
      <c r="C35" s="24">
        <f t="shared" si="3"/>
        <v>4000441.4553169692</v>
      </c>
      <c r="D35" s="25">
        <f t="shared" si="9"/>
        <v>5840644.5247627767</v>
      </c>
      <c r="E35" s="17">
        <f t="shared" si="10"/>
        <v>5680626.8665500982</v>
      </c>
      <c r="F35" s="18">
        <f t="shared" si="11"/>
        <v>160017.6582126788</v>
      </c>
      <c r="G35" s="16">
        <f t="shared" si="2"/>
        <v>5520609.2083374197</v>
      </c>
      <c r="H35" s="26">
        <v>4.12</v>
      </c>
      <c r="I35" s="93">
        <v>7.0000000000000007E-2</v>
      </c>
      <c r="J35" s="27">
        <f t="shared" si="4"/>
        <v>23294413.477274705</v>
      </c>
      <c r="K35" s="27">
        <f t="shared" si="5"/>
        <v>23404182.690186404</v>
      </c>
      <c r="L35" s="27">
        <f t="shared" si="6"/>
        <v>2340418.2690186403</v>
      </c>
      <c r="M35" s="28">
        <f t="shared" si="7"/>
        <v>4680836.5380372815</v>
      </c>
      <c r="N35" s="29">
        <f t="shared" si="8"/>
        <v>16382927.883130483</v>
      </c>
      <c r="O35" s="52"/>
      <c r="P35" s="54"/>
      <c r="S35" s="12"/>
    </row>
    <row r="36" spans="1:19" x14ac:dyDescent="0.25">
      <c r="A36" s="13">
        <v>30</v>
      </c>
      <c r="B36" s="23">
        <v>7.0000000000000001E-3</v>
      </c>
      <c r="C36" s="24">
        <f t="shared" si="3"/>
        <v>3972438.3651297502</v>
      </c>
      <c r="D36" s="25">
        <f t="shared" si="9"/>
        <v>5799760.013089437</v>
      </c>
      <c r="E36" s="17">
        <f t="shared" si="10"/>
        <v>5640862.4784842469</v>
      </c>
      <c r="F36" s="18">
        <f t="shared" si="11"/>
        <v>158897.53460519004</v>
      </c>
      <c r="G36" s="16">
        <f t="shared" si="2"/>
        <v>5481964.9438790567</v>
      </c>
      <c r="H36" s="26">
        <v>4.12</v>
      </c>
      <c r="I36" s="93">
        <v>7.0000000000000007E-2</v>
      </c>
      <c r="J36" s="27">
        <f t="shared" si="4"/>
        <v>23131352.582933791</v>
      </c>
      <c r="K36" s="27">
        <f t="shared" si="5"/>
        <v>23240353.411355097</v>
      </c>
      <c r="L36" s="27">
        <f t="shared" si="6"/>
        <v>2324035.3411355098</v>
      </c>
      <c r="M36" s="28">
        <f t="shared" si="7"/>
        <v>4648070.6822710196</v>
      </c>
      <c r="N36" s="29">
        <f t="shared" si="8"/>
        <v>16268247.387948569</v>
      </c>
      <c r="O36" s="52"/>
      <c r="P36" s="54"/>
      <c r="S36" s="12"/>
    </row>
    <row r="37" spans="1:19" x14ac:dyDescent="0.25">
      <c r="A37" s="13" t="s">
        <v>26</v>
      </c>
      <c r="B37" s="55">
        <f>SUM(B7:B36)</f>
        <v>0.22900000000000015</v>
      </c>
      <c r="C37" s="56"/>
      <c r="D37" s="57">
        <f>SUM(D7:D36)</f>
        <v>193005472.42888442</v>
      </c>
      <c r="E37" s="57"/>
      <c r="F37" s="57"/>
      <c r="G37" s="57"/>
      <c r="H37" s="58"/>
      <c r="I37" s="58"/>
      <c r="J37" s="59">
        <f>SUM(J7:J36)</f>
        <v>770322555.02096534</v>
      </c>
      <c r="K37" s="59"/>
      <c r="L37" s="59"/>
      <c r="M37" s="59"/>
      <c r="N37" s="60">
        <f>SUM(N7:N36)</f>
        <v>541377706.2524395</v>
      </c>
      <c r="O37" s="61"/>
    </row>
    <row r="38" spans="1:19" x14ac:dyDescent="0.25">
      <c r="A38" s="62"/>
      <c r="B38" s="63"/>
      <c r="C38" s="64"/>
      <c r="D38" s="57"/>
      <c r="E38" s="65"/>
      <c r="F38" s="65"/>
      <c r="G38" s="65"/>
      <c r="H38" s="66"/>
      <c r="I38" s="66"/>
      <c r="J38" s="61"/>
      <c r="K38" s="61"/>
      <c r="L38" s="61"/>
      <c r="M38" s="61"/>
      <c r="N38" s="67"/>
      <c r="O38" s="61"/>
    </row>
    <row r="39" spans="1:19" x14ac:dyDescent="0.25">
      <c r="B39" s="42"/>
      <c r="C39" s="68"/>
      <c r="D39" s="69"/>
      <c r="E39" s="69"/>
      <c r="F39" s="69"/>
      <c r="G39" s="69"/>
      <c r="H39" s="69"/>
      <c r="J39" s="70" t="s">
        <v>41</v>
      </c>
      <c r="K39" s="79">
        <f>NPV(0.1,K6:K36)</f>
        <v>117195412.61693154</v>
      </c>
      <c r="L39" s="71"/>
      <c r="M39" s="70" t="s">
        <v>42</v>
      </c>
      <c r="N39" s="80">
        <f>NPV(0.1,N6:N36)</f>
        <v>47945879.740942977</v>
      </c>
      <c r="O39" s="72"/>
      <c r="Q39" s="3">
        <f>(IF([1]การใช้ไฟย้อนหลัง!F23&gt;=1,1,[1]การใช้ไฟย้อนหลัง!F23))</f>
        <v>1</v>
      </c>
    </row>
    <row r="40" spans="1:19" x14ac:dyDescent="0.25">
      <c r="B40" s="42"/>
      <c r="C40" s="73"/>
      <c r="D40" s="74"/>
      <c r="E40" s="74"/>
      <c r="F40" s="69"/>
      <c r="G40" s="69"/>
      <c r="H40" s="69"/>
      <c r="J40" s="70" t="s">
        <v>27</v>
      </c>
      <c r="K40" s="79" t="s">
        <v>28</v>
      </c>
      <c r="L40" s="71"/>
      <c r="M40" s="70" t="s">
        <v>27</v>
      </c>
      <c r="N40" s="80" t="s">
        <v>40</v>
      </c>
      <c r="O40" s="72"/>
    </row>
    <row r="41" spans="1:19" x14ac:dyDescent="0.25">
      <c r="B41" s="42"/>
      <c r="C41" s="42"/>
      <c r="D41" s="38"/>
      <c r="E41" s="38"/>
      <c r="F41" s="74"/>
      <c r="G41" s="74"/>
      <c r="H41" s="74"/>
      <c r="I41" s="70"/>
      <c r="J41" s="75" t="s">
        <v>29</v>
      </c>
      <c r="K41" s="76">
        <f>IRR(K6:K36,0.1)</f>
        <v>0.22046326628172142</v>
      </c>
      <c r="L41" s="3"/>
      <c r="M41" s="75" t="s">
        <v>29</v>
      </c>
      <c r="N41" s="81">
        <f>IRR(N6:N36,0.1)</f>
        <v>0.15063218277395141</v>
      </c>
      <c r="P41" s="42"/>
    </row>
    <row r="42" spans="1:19" x14ac:dyDescent="0.25">
      <c r="B42" s="42"/>
      <c r="C42" s="42"/>
      <c r="D42" s="51"/>
      <c r="E42" s="51"/>
      <c r="F42" s="38"/>
      <c r="G42" s="38"/>
      <c r="H42" s="38"/>
      <c r="I42" s="70"/>
      <c r="P42" s="42"/>
      <c r="S42" s="77"/>
    </row>
    <row r="43" spans="1:19" x14ac:dyDescent="0.25">
      <c r="F43" s="51"/>
      <c r="G43" s="51"/>
      <c r="H43" s="51"/>
      <c r="I43" s="70"/>
      <c r="P43" s="42"/>
    </row>
    <row r="44" spans="1:19" x14ac:dyDescent="0.25">
      <c r="B44" s="77"/>
      <c r="C44" s="41"/>
      <c r="D44" s="51"/>
      <c r="E44" s="51"/>
    </row>
    <row r="45" spans="1:19" x14ac:dyDescent="0.25">
      <c r="B45" s="78"/>
      <c r="C45" s="41"/>
      <c r="D45" s="51"/>
      <c r="E45" s="51"/>
      <c r="F45" s="51"/>
      <c r="G45" s="51"/>
      <c r="H45" s="51"/>
      <c r="I45" s="70"/>
    </row>
    <row r="46" spans="1:19" x14ac:dyDescent="0.25">
      <c r="F46" s="51"/>
      <c r="G46" s="51"/>
      <c r="H46" s="51"/>
      <c r="I46" s="70"/>
    </row>
    <row r="50" spans="10:12" x14ac:dyDescent="0.25">
      <c r="J50" s="3"/>
      <c r="K50" s="3"/>
      <c r="L50" s="3"/>
    </row>
  </sheetData>
  <mergeCells count="22">
    <mergeCell ref="O17:P17"/>
    <mergeCell ref="K3:K4"/>
    <mergeCell ref="L3:M3"/>
    <mergeCell ref="N3:N4"/>
    <mergeCell ref="O19:P19"/>
    <mergeCell ref="O20:P20"/>
    <mergeCell ref="O21:P21"/>
    <mergeCell ref="O23:P23"/>
    <mergeCell ref="O24:P24"/>
    <mergeCell ref="O16:P16"/>
    <mergeCell ref="A2:N2"/>
    <mergeCell ref="A3:G3"/>
    <mergeCell ref="H3:J3"/>
    <mergeCell ref="A4:A5"/>
    <mergeCell ref="B4:B5"/>
    <mergeCell ref="C4:C5"/>
    <mergeCell ref="E4:G4"/>
    <mergeCell ref="O5:P5"/>
    <mergeCell ref="O7:P7"/>
    <mergeCell ref="O11:P11"/>
    <mergeCell ref="O12:P12"/>
    <mergeCell ref="O14:P14"/>
  </mergeCells>
  <pageMargins left="0.70866141732283472" right="0.70866141732283472" top="0.74803149606299213" bottom="0.74803149606299213" header="0.31496062992125984" footer="0.31496062992125984"/>
  <pageSetup paperSize="8" scale="60" orientation="landscape" horizontalDpi="180" verticalDpi="180" r:id="rId1"/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กฟภ.</vt:lpstr>
      <vt:lpstr>กฟภ.!Print_Area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Chitgasame RM</dc:creator>
  <cp:lastModifiedBy>Chitgasame RM</cp:lastModifiedBy>
  <dcterms:created xsi:type="dcterms:W3CDTF">2025-03-16T17:19:00Z</dcterms:created>
  <dcterms:modified xsi:type="dcterms:W3CDTF">2025-03-18T02:37:44Z</dcterms:modified>
</cp:coreProperties>
</file>